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betz_msu_edu/Documents/1Documents/1FINANCIAL TRAINING/1RISK MANAGEMENT AND MARKETING/2022/"/>
    </mc:Choice>
  </mc:AlternateContent>
  <xr:revisionPtr revIDLastSave="0" documentId="8_{D6738DE4-1B15-4949-BB73-6599D6E0163B}" xr6:coauthVersionLast="47" xr6:coauthVersionMax="47" xr10:uidLastSave="{00000000-0000-0000-0000-000000000000}"/>
  <bookViews>
    <workbookView xWindow="-108" yWindow="-108" windowWidth="23256" windowHeight="12576" tabRatio="729" xr2:uid="{00000000-000D-0000-FFFF-FFFF00000000}"/>
  </bookViews>
  <sheets>
    <sheet name="Decision Chart" sheetId="12" r:id="rId1"/>
    <sheet name="Corn New Crop" sheetId="9" r:id="rId2"/>
    <sheet name="Corn Store" sheetId="10" r:id="rId3"/>
    <sheet name="Soys New Crop" sheetId="13" r:id="rId4"/>
    <sheet name="Soys Store" sheetId="11" r:id="rId5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0" l="1"/>
  <c r="O27" i="10"/>
  <c r="P27" i="10"/>
  <c r="P47" i="10"/>
  <c r="S47" i="10"/>
  <c r="E5" i="9"/>
  <c r="D13" i="11"/>
  <c r="K11" i="11"/>
  <c r="L3" i="10"/>
  <c r="L2" i="10"/>
  <c r="B15" i="10"/>
  <c r="C10" i="10"/>
  <c r="C11" i="11"/>
  <c r="C10" i="11"/>
  <c r="B24" i="11"/>
  <c r="D49" i="11" s="1"/>
  <c r="L2" i="11"/>
  <c r="B15" i="11"/>
  <c r="L3" i="11" s="1"/>
  <c r="K3" i="13"/>
  <c r="B10" i="13"/>
  <c r="D82" i="13"/>
  <c r="J61" i="13"/>
  <c r="N53" i="13"/>
  <c r="Q49" i="13"/>
  <c r="T42" i="13"/>
  <c r="T53" i="13" s="1"/>
  <c r="N41" i="13"/>
  <c r="J40" i="13"/>
  <c r="Q39" i="13"/>
  <c r="Q40" i="13" s="1"/>
  <c r="Q54" i="13" s="1"/>
  <c r="J39" i="13"/>
  <c r="Q53" i="13" s="1"/>
  <c r="D39" i="13"/>
  <c r="Q37" i="13"/>
  <c r="N37" i="13"/>
  <c r="T38" i="13" s="1"/>
  <c r="M37" i="13"/>
  <c r="J35" i="13"/>
  <c r="G35" i="13"/>
  <c r="G46" i="13" s="1"/>
  <c r="G55" i="13" s="1"/>
  <c r="L12" i="13" s="1"/>
  <c r="D35" i="13"/>
  <c r="E34" i="13"/>
  <c r="A34" i="13"/>
  <c r="D32" i="13"/>
  <c r="B21" i="13"/>
  <c r="D44" i="13" s="1"/>
  <c r="B20" i="13"/>
  <c r="D43" i="13" s="1"/>
  <c r="F16" i="13"/>
  <c r="F15" i="13"/>
  <c r="C14" i="13"/>
  <c r="B14" i="13"/>
  <c r="C16" i="13" s="1"/>
  <c r="M35" i="13" s="1"/>
  <c r="C9" i="13"/>
  <c r="K1" i="13" s="1"/>
  <c r="C8" i="13"/>
  <c r="E5" i="13"/>
  <c r="B10" i="9"/>
  <c r="K2" i="9"/>
  <c r="A120" i="10"/>
  <c r="B19" i="10"/>
  <c r="B17" i="10"/>
  <c r="B13" i="10"/>
  <c r="B24" i="10" s="1"/>
  <c r="B23" i="10" s="1"/>
  <c r="B21" i="9"/>
  <c r="B20" i="9" s="1"/>
  <c r="K3" i="9"/>
  <c r="B23" i="11" l="1"/>
  <c r="B25" i="11"/>
  <c r="J37" i="13"/>
  <c r="D46" i="13"/>
  <c r="N49" i="13" s="1"/>
  <c r="M8" i="13"/>
  <c r="M40" i="13"/>
  <c r="M54" i="13" s="1"/>
  <c r="J5" i="13"/>
  <c r="H35" i="13"/>
  <c r="B38" i="13" s="1"/>
  <c r="K16" i="13"/>
  <c r="T39" i="13"/>
  <c r="T40" i="13" s="1"/>
  <c r="B22" i="13"/>
  <c r="D45" i="13" s="1"/>
  <c r="N40" i="13"/>
  <c r="N54" i="13" s="1"/>
  <c r="D47" i="13"/>
  <c r="C17" i="13"/>
  <c r="Q35" i="13" s="1"/>
  <c r="C15" i="13"/>
  <c r="N35" i="13" s="1"/>
  <c r="D38" i="13"/>
  <c r="K10" i="13" s="1"/>
  <c r="J53" i="13"/>
  <c r="M41" i="13"/>
  <c r="M53" i="13"/>
  <c r="Q41" i="13"/>
  <c r="Q45" i="13" s="1"/>
  <c r="M20" i="13" s="1"/>
  <c r="B22" i="9"/>
  <c r="B25" i="10"/>
  <c r="D51" i="10"/>
  <c r="D55" i="13" l="1"/>
  <c r="T49" i="13"/>
  <c r="L8" i="13"/>
  <c r="O8" i="13" s="1"/>
  <c r="J49" i="13"/>
  <c r="M49" i="13"/>
  <c r="T41" i="13"/>
  <c r="N39" i="13"/>
  <c r="N45" i="13" s="1"/>
  <c r="M17" i="13" s="1"/>
  <c r="M39" i="13"/>
  <c r="J42" i="13"/>
  <c r="M14" i="13" s="1"/>
  <c r="M45" i="13"/>
  <c r="M16" i="13" s="1"/>
  <c r="K17" i="13"/>
  <c r="T35" i="13"/>
  <c r="K20" i="13"/>
  <c r="T36" i="13"/>
  <c r="J46" i="13"/>
  <c r="D48" i="13"/>
  <c r="L10" i="13" s="1"/>
  <c r="B14" i="9"/>
  <c r="A126" i="10"/>
  <c r="C11" i="10"/>
  <c r="D67" i="10"/>
  <c r="I55" i="10" s="1"/>
  <c r="P55" i="10" s="1"/>
  <c r="D38" i="10"/>
  <c r="A41" i="11"/>
  <c r="A43" i="10"/>
  <c r="D13" i="10"/>
  <c r="D6" i="10"/>
  <c r="B120" i="10" s="1"/>
  <c r="D40" i="10"/>
  <c r="P59" i="10" s="1"/>
  <c r="E121" i="11"/>
  <c r="D38" i="11"/>
  <c r="D36" i="11"/>
  <c r="F16" i="9"/>
  <c r="F15" i="9"/>
  <c r="C20" i="10"/>
  <c r="P39" i="10" s="1"/>
  <c r="G35" i="9"/>
  <c r="Q37" i="9" s="1"/>
  <c r="D6" i="11"/>
  <c r="D7" i="11" s="1"/>
  <c r="C14" i="11"/>
  <c r="C13" i="11" s="1"/>
  <c r="G41" i="11"/>
  <c r="C18" i="11"/>
  <c r="K36" i="11" s="1"/>
  <c r="E36" i="11"/>
  <c r="H36" i="11" s="1"/>
  <c r="G36" i="11"/>
  <c r="D37" i="11"/>
  <c r="G43" i="11" s="1"/>
  <c r="J46" i="11" s="1"/>
  <c r="K46" i="11" s="1"/>
  <c r="N46" i="11" s="1"/>
  <c r="Q46" i="11" s="1"/>
  <c r="E37" i="11"/>
  <c r="A39" i="11"/>
  <c r="G39" i="11"/>
  <c r="J40" i="11" s="1"/>
  <c r="J39" i="11"/>
  <c r="T40" i="11" s="1"/>
  <c r="K39" i="11"/>
  <c r="N40" i="11"/>
  <c r="T41" i="11" s="1"/>
  <c r="Q40" i="11" s="1"/>
  <c r="A43" i="11"/>
  <c r="D48" i="11"/>
  <c r="D50" i="11"/>
  <c r="Q59" i="11"/>
  <c r="D65" i="11"/>
  <c r="G53" i="11" s="1"/>
  <c r="G58" i="11" s="1"/>
  <c r="E65" i="11"/>
  <c r="L9" i="11"/>
  <c r="Q9" i="11"/>
  <c r="N11" i="11"/>
  <c r="P11" i="11"/>
  <c r="L13" i="11"/>
  <c r="L15" i="11"/>
  <c r="K17" i="11"/>
  <c r="O17" i="11"/>
  <c r="K18" i="11"/>
  <c r="O18" i="11"/>
  <c r="K20" i="11"/>
  <c r="K21" i="11"/>
  <c r="O21" i="11"/>
  <c r="K23" i="11"/>
  <c r="K25" i="11"/>
  <c r="K26" i="11"/>
  <c r="O26" i="11"/>
  <c r="O27" i="11"/>
  <c r="C14" i="10"/>
  <c r="C13" i="10" s="1"/>
  <c r="I43" i="10"/>
  <c r="S44" i="10" s="1"/>
  <c r="S62" i="10" s="1"/>
  <c r="E38" i="10"/>
  <c r="I38" i="10"/>
  <c r="D39" i="10"/>
  <c r="I45" i="10" s="1"/>
  <c r="L48" i="10" s="1"/>
  <c r="M48" i="10" s="1"/>
  <c r="P48" i="10" s="1"/>
  <c r="E39" i="10"/>
  <c r="A41" i="10"/>
  <c r="I41" i="10"/>
  <c r="V45" i="10" s="1"/>
  <c r="L41" i="10"/>
  <c r="V42" i="10" s="1"/>
  <c r="M41" i="10"/>
  <c r="P42" i="10"/>
  <c r="V43" i="10" s="1"/>
  <c r="S42" i="10" s="1"/>
  <c r="A45" i="10"/>
  <c r="D50" i="10"/>
  <c r="D52" i="10"/>
  <c r="S61" i="10"/>
  <c r="E67" i="10"/>
  <c r="L9" i="10"/>
  <c r="Q9" i="10"/>
  <c r="K11" i="10"/>
  <c r="N11" i="10"/>
  <c r="P11" i="10"/>
  <c r="L13" i="10"/>
  <c r="L15" i="10"/>
  <c r="K17" i="10"/>
  <c r="O17" i="10"/>
  <c r="K18" i="10"/>
  <c r="O18" i="10"/>
  <c r="K20" i="10"/>
  <c r="K21" i="10"/>
  <c r="O21" i="10"/>
  <c r="K23" i="10"/>
  <c r="K25" i="10"/>
  <c r="K26" i="10"/>
  <c r="O26" i="10"/>
  <c r="C9" i="9"/>
  <c r="K1" i="9" s="1"/>
  <c r="D32" i="9"/>
  <c r="A34" i="9"/>
  <c r="E34" i="9"/>
  <c r="D35" i="9"/>
  <c r="J35" i="9"/>
  <c r="J37" i="9"/>
  <c r="N39" i="9" s="1"/>
  <c r="M37" i="9"/>
  <c r="N37" i="9"/>
  <c r="T38" i="9" s="1"/>
  <c r="D39" i="9"/>
  <c r="J39" i="9"/>
  <c r="M41" i="9" s="1"/>
  <c r="Q39" i="9"/>
  <c r="T39" i="9" s="1"/>
  <c r="D43" i="9"/>
  <c r="D44" i="9"/>
  <c r="D45" i="9"/>
  <c r="D46" i="9"/>
  <c r="N49" i="9" s="1"/>
  <c r="D47" i="9"/>
  <c r="J46" i="9" s="1"/>
  <c r="M8" i="9"/>
  <c r="J61" i="9"/>
  <c r="D82" i="9"/>
  <c r="G46" i="9"/>
  <c r="G55" i="9" s="1"/>
  <c r="L12" i="9" s="1"/>
  <c r="A53" i="11"/>
  <c r="R38" i="11"/>
  <c r="O38" i="11" s="1"/>
  <c r="C45" i="11" l="1"/>
  <c r="L36" i="11"/>
  <c r="T43" i="11"/>
  <c r="P12" i="13"/>
  <c r="P10" i="13"/>
  <c r="T48" i="13"/>
  <c r="T54" i="13" s="1"/>
  <c r="T46" i="13"/>
  <c r="Q46" i="13"/>
  <c r="Q51" i="13" s="1"/>
  <c r="Q55" i="13" s="1"/>
  <c r="L20" i="13" s="1"/>
  <c r="N46" i="13"/>
  <c r="N51" i="13" s="1"/>
  <c r="N55" i="13" s="1"/>
  <c r="L17" i="13" s="1"/>
  <c r="J51" i="13"/>
  <c r="M46" i="13"/>
  <c r="M51" i="13" s="1"/>
  <c r="M55" i="13" s="1"/>
  <c r="L16" i="13" s="1"/>
  <c r="J54" i="13"/>
  <c r="J48" i="13"/>
  <c r="T45" i="13"/>
  <c r="M24" i="13" s="1"/>
  <c r="K23" i="13"/>
  <c r="K22" i="13"/>
  <c r="T44" i="13"/>
  <c r="M23" i="13" s="1"/>
  <c r="G60" i="11"/>
  <c r="J42" i="11"/>
  <c r="K42" i="11"/>
  <c r="T44" i="11"/>
  <c r="T60" i="11" s="1"/>
  <c r="Q42" i="11"/>
  <c r="Q60" i="11" s="1"/>
  <c r="D64" i="11"/>
  <c r="T2" i="11" s="1"/>
  <c r="F121" i="11"/>
  <c r="E122" i="11" s="1"/>
  <c r="K40" i="11"/>
  <c r="N68" i="11"/>
  <c r="J54" i="9"/>
  <c r="P70" i="10"/>
  <c r="D66" i="10"/>
  <c r="T2" i="10" s="1"/>
  <c r="T40" i="10"/>
  <c r="Q40" i="10" s="1"/>
  <c r="D45" i="10"/>
  <c r="P40" i="10"/>
  <c r="C47" i="10"/>
  <c r="A55" i="10"/>
  <c r="J38" i="10"/>
  <c r="C17" i="10"/>
  <c r="L1" i="10"/>
  <c r="I60" i="10"/>
  <c r="C8" i="9"/>
  <c r="C15" i="9"/>
  <c r="N35" i="9" s="1"/>
  <c r="T35" i="9" s="1"/>
  <c r="C17" i="9"/>
  <c r="C16" i="9"/>
  <c r="M35" i="9" s="1"/>
  <c r="M46" i="9" s="1"/>
  <c r="M51" i="9" s="1"/>
  <c r="L42" i="10"/>
  <c r="M42" i="10"/>
  <c r="D47" i="10"/>
  <c r="L11" i="10" s="1"/>
  <c r="C19" i="10"/>
  <c r="L38" i="10" s="1"/>
  <c r="V38" i="10" s="1"/>
  <c r="A121" i="10"/>
  <c r="S38" i="10"/>
  <c r="S59" i="10" s="1"/>
  <c r="Q40" i="9"/>
  <c r="Q54" i="9" s="1"/>
  <c r="J48" i="9"/>
  <c r="T49" i="9"/>
  <c r="M39" i="9"/>
  <c r="T41" i="9"/>
  <c r="J49" i="9"/>
  <c r="J5" i="9"/>
  <c r="H35" i="9"/>
  <c r="B38" i="9" s="1"/>
  <c r="C14" i="9"/>
  <c r="A127" i="10"/>
  <c r="N38" i="10"/>
  <c r="A128" i="10"/>
  <c r="T40" i="9"/>
  <c r="J40" i="9"/>
  <c r="J42" i="9" s="1"/>
  <c r="M14" i="9" s="1"/>
  <c r="N40" i="9"/>
  <c r="N54" i="9" s="1"/>
  <c r="M40" i="9"/>
  <c r="M54" i="9" s="1"/>
  <c r="Q35" i="9"/>
  <c r="T36" i="9" s="1"/>
  <c r="T48" i="9" s="1"/>
  <c r="P60" i="10"/>
  <c r="V39" i="10"/>
  <c r="V56" i="10" s="1"/>
  <c r="C78" i="10"/>
  <c r="L21" i="10" s="1"/>
  <c r="S48" i="10"/>
  <c r="N57" i="11"/>
  <c r="N38" i="11"/>
  <c r="T46" i="9"/>
  <c r="K53" i="11"/>
  <c r="K58" i="11" s="1"/>
  <c r="C74" i="11"/>
  <c r="L18" i="11" s="1"/>
  <c r="D39" i="11"/>
  <c r="D43" i="11"/>
  <c r="D45" i="11"/>
  <c r="Q36" i="11"/>
  <c r="J51" i="9"/>
  <c r="D55" i="9"/>
  <c r="M44" i="10"/>
  <c r="K60" i="11"/>
  <c r="M62" i="10"/>
  <c r="C19" i="11"/>
  <c r="J36" i="11" s="1"/>
  <c r="L44" i="10"/>
  <c r="M49" i="9"/>
  <c r="N42" i="11"/>
  <c r="P62" i="10"/>
  <c r="N60" i="11"/>
  <c r="C17" i="11"/>
  <c r="C18" i="10"/>
  <c r="M38" i="10" s="1"/>
  <c r="M55" i="10" s="1"/>
  <c r="M60" i="10" s="1"/>
  <c r="D7" i="10"/>
  <c r="V46" i="10"/>
  <c r="V62" i="10" s="1"/>
  <c r="Q49" i="9"/>
  <c r="Q53" i="9"/>
  <c r="P44" i="10"/>
  <c r="N53" i="9"/>
  <c r="T42" i="9"/>
  <c r="T53" i="9" s="1"/>
  <c r="L62" i="10"/>
  <c r="L8" i="9"/>
  <c r="O8" i="9" s="1"/>
  <c r="D38" i="9"/>
  <c r="K10" i="9" s="1"/>
  <c r="M53" i="9"/>
  <c r="Q41" i="9"/>
  <c r="Q45" i="9" s="1"/>
  <c r="M20" i="9" s="1"/>
  <c r="I62" i="10"/>
  <c r="D41" i="10"/>
  <c r="J53" i="9"/>
  <c r="N41" i="9"/>
  <c r="J60" i="11"/>
  <c r="L1" i="11"/>
  <c r="C20" i="11"/>
  <c r="N37" i="11" s="1"/>
  <c r="T51" i="13" l="1"/>
  <c r="T55" i="13" s="1"/>
  <c r="L23" i="13" s="1"/>
  <c r="P23" i="13" s="1"/>
  <c r="J55" i="13"/>
  <c r="L14" i="13" s="1"/>
  <c r="O14" i="13" s="1"/>
  <c r="P16" i="13"/>
  <c r="O16" i="13"/>
  <c r="P17" i="13"/>
  <c r="O17" i="13"/>
  <c r="O20" i="13"/>
  <c r="P20" i="13"/>
  <c r="D53" i="11"/>
  <c r="K57" i="11" s="1"/>
  <c r="K17" i="9"/>
  <c r="N46" i="9"/>
  <c r="N51" i="9" s="1"/>
  <c r="N55" i="9" s="1"/>
  <c r="L17" i="9" s="1"/>
  <c r="P17" i="9" s="1"/>
  <c r="D55" i="10"/>
  <c r="V59" i="10" s="1"/>
  <c r="E79" i="10"/>
  <c r="N23" i="10" s="1"/>
  <c r="D63" i="10"/>
  <c r="D72" i="10" s="1"/>
  <c r="P72" i="10" s="1"/>
  <c r="W11" i="10" s="1"/>
  <c r="C75" i="10"/>
  <c r="L17" i="10" s="1"/>
  <c r="L55" i="10"/>
  <c r="L60" i="10" s="1"/>
  <c r="S49" i="10"/>
  <c r="A129" i="10"/>
  <c r="T54" i="9"/>
  <c r="P12" i="9"/>
  <c r="J55" i="9"/>
  <c r="L14" i="9" s="1"/>
  <c r="P14" i="9" s="1"/>
  <c r="N45" i="9"/>
  <c r="M17" i="9" s="1"/>
  <c r="M45" i="9"/>
  <c r="M16" i="9" s="1"/>
  <c r="K23" i="9"/>
  <c r="Q46" i="9"/>
  <c r="Q51" i="9" s="1"/>
  <c r="Q55" i="9" s="1"/>
  <c r="L20" i="9" s="1"/>
  <c r="T45" i="9"/>
  <c r="M24" i="9" s="1"/>
  <c r="K20" i="9"/>
  <c r="T51" i="9"/>
  <c r="K16" i="9"/>
  <c r="M55" i="9"/>
  <c r="L16" i="9" s="1"/>
  <c r="V61" i="10"/>
  <c r="I42" i="10"/>
  <c r="I44" i="10" s="1"/>
  <c r="D68" i="10"/>
  <c r="P61" i="10"/>
  <c r="P63" i="10" s="1"/>
  <c r="D78" i="10" s="1"/>
  <c r="L43" i="10"/>
  <c r="L47" i="10" s="1"/>
  <c r="M43" i="10"/>
  <c r="M47" i="10" s="1"/>
  <c r="D42" i="10"/>
  <c r="E73" i="10" s="1"/>
  <c r="N13" i="10" s="1"/>
  <c r="P43" i="10"/>
  <c r="V44" i="10"/>
  <c r="V48" i="10" s="1"/>
  <c r="D48" i="9"/>
  <c r="L10" i="9" s="1"/>
  <c r="P10" i="9" s="1"/>
  <c r="K22" i="9"/>
  <c r="T44" i="9"/>
  <c r="M23" i="9" s="1"/>
  <c r="Q45" i="11"/>
  <c r="Q57" i="11"/>
  <c r="K41" i="11"/>
  <c r="K45" i="11" s="1"/>
  <c r="T59" i="11"/>
  <c r="N41" i="11"/>
  <c r="N45" i="11" s="1"/>
  <c r="J41" i="11"/>
  <c r="J45" i="11" s="1"/>
  <c r="N59" i="11"/>
  <c r="D66" i="11"/>
  <c r="T42" i="11"/>
  <c r="G40" i="11"/>
  <c r="G42" i="11" s="1"/>
  <c r="C80" i="10"/>
  <c r="L25" i="10" s="1"/>
  <c r="D61" i="11"/>
  <c r="D70" i="11" s="1"/>
  <c r="L11" i="11"/>
  <c r="T36" i="11"/>
  <c r="J53" i="11"/>
  <c r="J58" i="11" s="1"/>
  <c r="C73" i="11"/>
  <c r="L17" i="11" s="1"/>
  <c r="V55" i="10"/>
  <c r="V60" i="10" s="1"/>
  <c r="C76" i="10"/>
  <c r="L18" i="10" s="1"/>
  <c r="D40" i="11"/>
  <c r="E71" i="11" s="1"/>
  <c r="N13" i="11" s="1"/>
  <c r="T37" i="11"/>
  <c r="C76" i="11"/>
  <c r="L21" i="11" s="1"/>
  <c r="N53" i="11"/>
  <c r="N58" i="11" s="1"/>
  <c r="C81" i="10"/>
  <c r="S39" i="10"/>
  <c r="S55" i="10" s="1"/>
  <c r="S60" i="10" s="1"/>
  <c r="S63" i="10" s="1"/>
  <c r="D79" i="10" s="1"/>
  <c r="T57" i="11" l="1"/>
  <c r="G54" i="11"/>
  <c r="J57" i="11"/>
  <c r="G57" i="11"/>
  <c r="P24" i="13"/>
  <c r="O24" i="13"/>
  <c r="O23" i="13"/>
  <c r="P14" i="13"/>
  <c r="N61" i="11"/>
  <c r="D76" i="11" s="1"/>
  <c r="M21" i="11" s="1"/>
  <c r="L59" i="10"/>
  <c r="I59" i="10"/>
  <c r="M59" i="10"/>
  <c r="I56" i="10"/>
  <c r="L72" i="10"/>
  <c r="S11" i="10" s="1"/>
  <c r="N72" i="10"/>
  <c r="U11" i="10" s="1"/>
  <c r="M11" i="10"/>
  <c r="T55" i="9"/>
  <c r="L23" i="9" s="1"/>
  <c r="O14" i="9"/>
  <c r="O17" i="9"/>
  <c r="V49" i="10"/>
  <c r="V52" i="10" s="1"/>
  <c r="V63" i="10"/>
  <c r="D81" i="10" s="1"/>
  <c r="P81" i="10" s="1"/>
  <c r="W26" i="10" s="1"/>
  <c r="P49" i="10"/>
  <c r="E78" i="10"/>
  <c r="N21" i="10" s="1"/>
  <c r="E76" i="11"/>
  <c r="N21" i="11" s="1"/>
  <c r="N47" i="11"/>
  <c r="M49" i="10"/>
  <c r="E76" i="10"/>
  <c r="N18" i="10" s="1"/>
  <c r="T46" i="11"/>
  <c r="C78" i="11"/>
  <c r="L25" i="11" s="1"/>
  <c r="T53" i="11"/>
  <c r="J59" i="11"/>
  <c r="D54" i="11"/>
  <c r="W2" i="11"/>
  <c r="X2" i="11" s="1"/>
  <c r="K59" i="11"/>
  <c r="K61" i="11" s="1"/>
  <c r="D74" i="11" s="1"/>
  <c r="G59" i="11"/>
  <c r="D58" i="11"/>
  <c r="D71" i="11" s="1"/>
  <c r="P78" i="10"/>
  <c r="W21" i="10" s="1"/>
  <c r="L78" i="10"/>
  <c r="S21" i="10" s="1"/>
  <c r="M21" i="10"/>
  <c r="N78" i="10"/>
  <c r="U21" i="10" s="1"/>
  <c r="E72" i="11"/>
  <c r="N15" i="11" s="1"/>
  <c r="G44" i="11"/>
  <c r="V51" i="10"/>
  <c r="E81" i="10"/>
  <c r="N26" i="10" s="1"/>
  <c r="C79" i="11"/>
  <c r="T54" i="11"/>
  <c r="Q37" i="11"/>
  <c r="Q53" i="11" s="1"/>
  <c r="Q58" i="11" s="1"/>
  <c r="Q61" i="11" s="1"/>
  <c r="D77" i="11" s="1"/>
  <c r="T47" i="11"/>
  <c r="P16" i="9"/>
  <c r="O16" i="9"/>
  <c r="I79" i="10"/>
  <c r="P23" i="10" s="1"/>
  <c r="M23" i="10"/>
  <c r="N79" i="10"/>
  <c r="U23" i="10" s="1"/>
  <c r="L79" i="10"/>
  <c r="S23" i="10" s="1"/>
  <c r="P79" i="10"/>
  <c r="W23" i="10" s="1"/>
  <c r="K47" i="11"/>
  <c r="E74" i="11"/>
  <c r="N18" i="11" s="1"/>
  <c r="E75" i="10"/>
  <c r="N17" i="10" s="1"/>
  <c r="L49" i="10"/>
  <c r="L70" i="11"/>
  <c r="U11" i="11" s="1"/>
  <c r="M11" i="11"/>
  <c r="J70" i="11"/>
  <c r="S11" i="11" s="1"/>
  <c r="N70" i="11"/>
  <c r="W11" i="11" s="1"/>
  <c r="C79" i="10"/>
  <c r="L23" i="10" s="1"/>
  <c r="L26" i="10"/>
  <c r="M61" i="10"/>
  <c r="D56" i="10"/>
  <c r="L61" i="10"/>
  <c r="I61" i="10"/>
  <c r="D60" i="10"/>
  <c r="D73" i="10" s="1"/>
  <c r="V2" i="10"/>
  <c r="E77" i="11"/>
  <c r="N23" i="11" s="1"/>
  <c r="Q47" i="11"/>
  <c r="E74" i="10"/>
  <c r="N15" i="10" s="1"/>
  <c r="I46" i="10"/>
  <c r="J47" i="11"/>
  <c r="E73" i="11"/>
  <c r="N17" i="11" s="1"/>
  <c r="P20" i="9"/>
  <c r="O20" i="9"/>
  <c r="G61" i="11" l="1"/>
  <c r="D72" i="11" s="1"/>
  <c r="N72" i="11" s="1"/>
  <c r="W15" i="11" s="1"/>
  <c r="M63" i="10"/>
  <c r="D76" i="10" s="1"/>
  <c r="L76" i="10" s="1"/>
  <c r="S18" i="10" s="1"/>
  <c r="J61" i="11"/>
  <c r="D73" i="11" s="1"/>
  <c r="L73" i="11" s="1"/>
  <c r="U17" i="11" s="1"/>
  <c r="J76" i="11"/>
  <c r="S21" i="11" s="1"/>
  <c r="N76" i="11"/>
  <c r="W21" i="11" s="1"/>
  <c r="L76" i="11"/>
  <c r="U21" i="11" s="1"/>
  <c r="G76" i="11"/>
  <c r="P21" i="11" s="1"/>
  <c r="I63" i="10"/>
  <c r="D74" i="10" s="1"/>
  <c r="P74" i="10" s="1"/>
  <c r="W15" i="10" s="1"/>
  <c r="L63" i="10"/>
  <c r="D75" i="10" s="1"/>
  <c r="L75" i="10" s="1"/>
  <c r="S17" i="10" s="1"/>
  <c r="P23" i="9"/>
  <c r="O23" i="9"/>
  <c r="E82" i="10"/>
  <c r="I78" i="10"/>
  <c r="P21" i="10" s="1"/>
  <c r="O24" i="9"/>
  <c r="P24" i="9"/>
  <c r="M26" i="10"/>
  <c r="L81" i="10"/>
  <c r="S26" i="10" s="1"/>
  <c r="N81" i="10"/>
  <c r="U26" i="10" s="1"/>
  <c r="G74" i="11"/>
  <c r="P18" i="11" s="1"/>
  <c r="N74" i="11"/>
  <c r="W18" i="11" s="1"/>
  <c r="M18" i="11"/>
  <c r="L74" i="11"/>
  <c r="U18" i="11" s="1"/>
  <c r="J74" i="11"/>
  <c r="S18" i="11" s="1"/>
  <c r="L77" i="11"/>
  <c r="U23" i="11" s="1"/>
  <c r="G77" i="11"/>
  <c r="P23" i="11" s="1"/>
  <c r="N77" i="11"/>
  <c r="W23" i="11" s="1"/>
  <c r="J77" i="11"/>
  <c r="S23" i="11" s="1"/>
  <c r="M23" i="11"/>
  <c r="G71" i="11"/>
  <c r="P13" i="11" s="1"/>
  <c r="M13" i="11"/>
  <c r="L71" i="11"/>
  <c r="U13" i="11" s="1"/>
  <c r="J71" i="11"/>
  <c r="S13" i="11" s="1"/>
  <c r="N71" i="11"/>
  <c r="W13" i="11" s="1"/>
  <c r="L26" i="11"/>
  <c r="C77" i="11"/>
  <c r="L23" i="11" s="1"/>
  <c r="E69" i="11"/>
  <c r="N9" i="11" s="1"/>
  <c r="D55" i="11"/>
  <c r="D69" i="11" s="1"/>
  <c r="H77" i="11" s="1"/>
  <c r="Q23" i="11" s="1"/>
  <c r="M13" i="10"/>
  <c r="I73" i="10"/>
  <c r="P13" i="10" s="1"/>
  <c r="P73" i="10"/>
  <c r="W13" i="10" s="1"/>
  <c r="L73" i="10"/>
  <c r="S13" i="10" s="1"/>
  <c r="N73" i="10"/>
  <c r="U13" i="10" s="1"/>
  <c r="T58" i="11"/>
  <c r="T61" i="11" s="1"/>
  <c r="D79" i="11" s="1"/>
  <c r="P75" i="10"/>
  <c r="W17" i="10" s="1"/>
  <c r="I81" i="10"/>
  <c r="P26" i="10" s="1"/>
  <c r="E71" i="10"/>
  <c r="N9" i="10" s="1"/>
  <c r="D57" i="10"/>
  <c r="D71" i="10" s="1"/>
  <c r="J73" i="10" s="1"/>
  <c r="Q13" i="10" s="1"/>
  <c r="E79" i="11"/>
  <c r="N26" i="11" s="1"/>
  <c r="T49" i="11"/>
  <c r="E80" i="11"/>
  <c r="N27" i="11" s="1"/>
  <c r="T50" i="11"/>
  <c r="J72" i="11" l="1"/>
  <c r="S15" i="11" s="1"/>
  <c r="G72" i="11"/>
  <c r="P15" i="11" s="1"/>
  <c r="L72" i="11"/>
  <c r="U15" i="11" s="1"/>
  <c r="M15" i="11"/>
  <c r="M17" i="11"/>
  <c r="P76" i="10"/>
  <c r="W18" i="10" s="1"/>
  <c r="M18" i="10"/>
  <c r="I76" i="10"/>
  <c r="P18" i="10" s="1"/>
  <c r="N76" i="10"/>
  <c r="U18" i="10" s="1"/>
  <c r="M17" i="10"/>
  <c r="I75" i="10"/>
  <c r="P17" i="10" s="1"/>
  <c r="N75" i="10"/>
  <c r="U17" i="10" s="1"/>
  <c r="N73" i="11"/>
  <c r="W17" i="11" s="1"/>
  <c r="G73" i="11"/>
  <c r="P17" i="11" s="1"/>
  <c r="J73" i="11"/>
  <c r="S17" i="11" s="1"/>
  <c r="H73" i="11"/>
  <c r="Q17" i="11" s="1"/>
  <c r="H71" i="11"/>
  <c r="Q13" i="11" s="1"/>
  <c r="I74" i="10"/>
  <c r="P15" i="10" s="1"/>
  <c r="M15" i="10"/>
  <c r="L74" i="10"/>
  <c r="S15" i="10" s="1"/>
  <c r="N74" i="10"/>
  <c r="U15" i="10" s="1"/>
  <c r="I82" i="10"/>
  <c r="J76" i="10"/>
  <c r="Q18" i="10" s="1"/>
  <c r="J75" i="10"/>
  <c r="Q17" i="10" s="1"/>
  <c r="H72" i="11"/>
  <c r="Q15" i="11" s="1"/>
  <c r="N79" i="11"/>
  <c r="W26" i="11" s="1"/>
  <c r="M26" i="11"/>
  <c r="G79" i="11"/>
  <c r="P26" i="11" s="1"/>
  <c r="J79" i="11"/>
  <c r="S26" i="11" s="1"/>
  <c r="H79" i="11"/>
  <c r="Q26" i="11" s="1"/>
  <c r="G80" i="11"/>
  <c r="P27" i="11" s="1"/>
  <c r="L79" i="11"/>
  <c r="U26" i="11" s="1"/>
  <c r="N69" i="11"/>
  <c r="W9" i="11" s="1"/>
  <c r="J69" i="11"/>
  <c r="S9" i="11" s="1"/>
  <c r="M9" i="11"/>
  <c r="G69" i="11"/>
  <c r="P9" i="11" s="1"/>
  <c r="L69" i="11"/>
  <c r="U9" i="11" s="1"/>
  <c r="H76" i="11"/>
  <c r="Q21" i="11" s="1"/>
  <c r="H70" i="11"/>
  <c r="Q11" i="11" s="1"/>
  <c r="M9" i="10"/>
  <c r="P71" i="10"/>
  <c r="W9" i="10" s="1"/>
  <c r="L71" i="10"/>
  <c r="S9" i="10" s="1"/>
  <c r="I71" i="10"/>
  <c r="P9" i="10" s="1"/>
  <c r="N71" i="10"/>
  <c r="U9" i="10" s="1"/>
  <c r="J72" i="10"/>
  <c r="Q11" i="10" s="1"/>
  <c r="J81" i="10"/>
  <c r="Q26" i="10" s="1"/>
  <c r="J78" i="10"/>
  <c r="Q21" i="10" s="1"/>
  <c r="J79" i="10"/>
  <c r="Q23" i="10" s="1"/>
  <c r="J74" i="10"/>
  <c r="Q15" i="10" s="1"/>
  <c r="H74" i="11"/>
  <c r="Q18" i="11" s="1"/>
</calcChain>
</file>

<file path=xl/sharedStrings.xml><?xml version="1.0" encoding="utf-8"?>
<sst xmlns="http://schemas.openxmlformats.org/spreadsheetml/2006/main" count="1104" uniqueCount="217">
  <si>
    <t>Month</t>
  </si>
  <si>
    <t>Cash</t>
  </si>
  <si>
    <t xml:space="preserve"> </t>
  </si>
  <si>
    <t>Futures</t>
  </si>
  <si>
    <t xml:space="preserve">Crop </t>
  </si>
  <si>
    <t>Location</t>
  </si>
  <si>
    <t>Albion</t>
  </si>
  <si>
    <t>Evaluation Date</t>
  </si>
  <si>
    <t>Futures Harvest Month</t>
  </si>
  <si>
    <t>Local Loan Rate</t>
  </si>
  <si>
    <t>Forward Contract Price</t>
  </si>
  <si>
    <t>Futures Price</t>
  </si>
  <si>
    <t>Expected Basis at Harvest</t>
  </si>
  <si>
    <t>Use Negative Number for Below Futures Price</t>
  </si>
  <si>
    <t>At the Money Strike Price</t>
  </si>
  <si>
    <t>Put Option Premium</t>
  </si>
  <si>
    <t>Strike Price</t>
  </si>
  <si>
    <t>Call Option Premium</t>
  </si>
  <si>
    <t>Expected Harvest Cash Price</t>
  </si>
  <si>
    <t xml:space="preserve">  Optimistic</t>
  </si>
  <si>
    <t xml:space="preserve">  Average</t>
  </si>
  <si>
    <t xml:space="preserve">  Pessimistic</t>
  </si>
  <si>
    <t>Forward Pricing Alternatives for New Crop _________</t>
  </si>
  <si>
    <t>Date</t>
  </si>
  <si>
    <t xml:space="preserve">  Cash Market</t>
  </si>
  <si>
    <t xml:space="preserve">  Forward Contract</t>
  </si>
  <si>
    <t xml:space="preserve">  Futures Hedge</t>
  </si>
  <si>
    <t xml:space="preserve">  Put Options</t>
  </si>
  <si>
    <t xml:space="preserve">  Forward Contract and </t>
  </si>
  <si>
    <t xml:space="preserve">  Fence - Buy Put Option</t>
  </si>
  <si>
    <t xml:space="preserve">  Buy Call Option</t>
  </si>
  <si>
    <t xml:space="preserve">  And Write Call Option</t>
  </si>
  <si>
    <t xml:space="preserve"> Production Cost</t>
  </si>
  <si>
    <t>Forward Contract</t>
  </si>
  <si>
    <t xml:space="preserve">  Strike Price</t>
  </si>
  <si>
    <t xml:space="preserve">  Put Strike Price</t>
  </si>
  <si>
    <t xml:space="preserve">  Call Strike  "</t>
  </si>
  <si>
    <t>Basis Contract</t>
  </si>
  <si>
    <t xml:space="preserve">       Exp. Basis(NEG)</t>
  </si>
  <si>
    <t xml:space="preserve">  Option Premium</t>
  </si>
  <si>
    <t xml:space="preserve">  Put Premium</t>
  </si>
  <si>
    <t>Net Gov'nt Loan</t>
  </si>
  <si>
    <t xml:space="preserve">  Brokerage Cost</t>
  </si>
  <si>
    <t xml:space="preserve">  Expected Basis</t>
  </si>
  <si>
    <t xml:space="preserve">  Call Premium</t>
  </si>
  <si>
    <t xml:space="preserve">  Expected Net</t>
  </si>
  <si>
    <t>Expected Harvest Price</t>
  </si>
  <si>
    <t xml:space="preserve">  Price</t>
  </si>
  <si>
    <t xml:space="preserve">  Brokerage Costs</t>
  </si>
  <si>
    <t xml:space="preserve">  Equals Expected</t>
  </si>
  <si>
    <t xml:space="preserve">  Equals</t>
  </si>
  <si>
    <t xml:space="preserve">  (put + call)</t>
  </si>
  <si>
    <t xml:space="preserve">  Minimum Selling</t>
  </si>
  <si>
    <t xml:space="preserve">  Expected Min SP</t>
  </si>
  <si>
    <t>(Min SP)</t>
  </si>
  <si>
    <t xml:space="preserve">  Expected Max SP </t>
  </si>
  <si>
    <t xml:space="preserve">  Cash Price</t>
  </si>
  <si>
    <t xml:space="preserve">  Futures Price</t>
  </si>
  <si>
    <t xml:space="preserve">  Basis Contract</t>
  </si>
  <si>
    <t xml:space="preserve">  Actual Basis</t>
  </si>
  <si>
    <t xml:space="preserve">  Write Payout</t>
  </si>
  <si>
    <t xml:space="preserve">  Net Futures</t>
  </si>
  <si>
    <t xml:space="preserve">  Net Options</t>
  </si>
  <si>
    <t xml:space="preserve">  Net Price</t>
  </si>
  <si>
    <t xml:space="preserve">What Ifs??? </t>
  </si>
  <si>
    <t xml:space="preserve">Basis </t>
  </si>
  <si>
    <t>Net Prices At Harvest</t>
  </si>
  <si>
    <t>Received</t>
  </si>
  <si>
    <t>Cash Market</t>
  </si>
  <si>
    <t>NA</t>
  </si>
  <si>
    <t>Futures Hedge</t>
  </si>
  <si>
    <t>Put Option @ Strike</t>
  </si>
  <si>
    <t>min</t>
  </si>
  <si>
    <t>Forward Contract &amp;</t>
  </si>
  <si>
    <t>Buy Call Option @</t>
  </si>
  <si>
    <t>&amp; Write Call @</t>
  </si>
  <si>
    <t>max</t>
  </si>
  <si>
    <t xml:space="preserve">  Exp. Basis(NEG)</t>
  </si>
  <si>
    <t>Store to What Date</t>
  </si>
  <si>
    <t>In Charge for Storage</t>
  </si>
  <si>
    <t>Storage cost per month</t>
  </si>
  <si>
    <t>Annual Interest Rate</t>
  </si>
  <si>
    <t>Current LDP Available</t>
  </si>
  <si>
    <t>Expected Basis at Delivery</t>
  </si>
  <si>
    <t>Expected Cash Price at Delivery</t>
  </si>
  <si>
    <t>Forward Pricing Alternatives for STORED</t>
  </si>
  <si>
    <t xml:space="preserve">Sell Cash </t>
  </si>
  <si>
    <t>Fence - Buy Put Option</t>
  </si>
  <si>
    <t>And Buy Call Option</t>
  </si>
  <si>
    <t>And Write Call Option</t>
  </si>
  <si>
    <t xml:space="preserve"> CURRENT PRICE   $</t>
  </si>
  <si>
    <t>Cash Sale</t>
  </si>
  <si>
    <t>LDP Available</t>
  </si>
  <si>
    <t>Months of Storage</t>
  </si>
  <si>
    <t xml:space="preserve">  Call Strike Price</t>
  </si>
  <si>
    <t>INT Rate/Yr</t>
  </si>
  <si>
    <t xml:space="preserve"> F. Contract Price</t>
  </si>
  <si>
    <t xml:space="preserve"> Less:</t>
  </si>
  <si>
    <t xml:space="preserve"> Forward Contract</t>
  </si>
  <si>
    <t xml:space="preserve"> Less Storage    -</t>
  </si>
  <si>
    <t xml:space="preserve">  Option Premium -</t>
  </si>
  <si>
    <t>Storage In Charge</t>
  </si>
  <si>
    <t xml:space="preserve"> NET FORWRD CONT $</t>
  </si>
  <si>
    <t xml:space="preserve">  Storage Cost   -</t>
  </si>
  <si>
    <t xml:space="preserve">  Call Premium -</t>
  </si>
  <si>
    <t xml:space="preserve">  Brokerage Cost -</t>
  </si>
  <si>
    <t xml:space="preserve">  Storage Cost</t>
  </si>
  <si>
    <t>Storage/Mnth</t>
  </si>
  <si>
    <t>Net Gov'nt Loan  $</t>
  </si>
  <si>
    <t xml:space="preserve"> EXP. NET PRICE=</t>
  </si>
  <si>
    <t>Cash With LDP</t>
  </si>
  <si>
    <t>LDP</t>
  </si>
  <si>
    <t xml:space="preserve"> Equals</t>
  </si>
  <si>
    <t>BASIS CONTRACT</t>
  </si>
  <si>
    <t>Net with LDP</t>
  </si>
  <si>
    <t>Relative to</t>
  </si>
  <si>
    <t xml:space="preserve">  Price (Min SP) =</t>
  </si>
  <si>
    <t>Expected Cash Price At delivery</t>
  </si>
  <si>
    <t>Net Min with LDP</t>
  </si>
  <si>
    <t>Min With LDP</t>
  </si>
  <si>
    <t>Max with LDP</t>
  </si>
  <si>
    <t>Call Value</t>
  </si>
  <si>
    <t xml:space="preserve">  Less Storage   -</t>
  </si>
  <si>
    <t xml:space="preserve">  Net from Cash  =</t>
  </si>
  <si>
    <t xml:space="preserve">  Net from </t>
  </si>
  <si>
    <t xml:space="preserve">  Net Futures    +</t>
  </si>
  <si>
    <t xml:space="preserve">  Net Options    +</t>
  </si>
  <si>
    <t xml:space="preserve">  Net Price from </t>
  </si>
  <si>
    <t xml:space="preserve">  Broker Costs   -</t>
  </si>
  <si>
    <t xml:space="preserve">  Basis Contract =</t>
  </si>
  <si>
    <t xml:space="preserve">  Net Price      =</t>
  </si>
  <si>
    <t>Net</t>
  </si>
  <si>
    <t xml:space="preserve"> Basis(NEG)</t>
  </si>
  <si>
    <t>If Locked In</t>
  </si>
  <si>
    <t>If Did Not Lock In</t>
  </si>
  <si>
    <t xml:space="preserve">  Storage</t>
  </si>
  <si>
    <t xml:space="preserve"> Advantage</t>
  </si>
  <si>
    <t xml:space="preserve">Advantage </t>
  </si>
  <si>
    <t>Predicted</t>
  </si>
  <si>
    <t>over</t>
  </si>
  <si>
    <t>over Current</t>
  </si>
  <si>
    <t>After Storage</t>
  </si>
  <si>
    <t>Difference</t>
  </si>
  <si>
    <t>Prices</t>
  </si>
  <si>
    <t xml:space="preserve">        =</t>
  </si>
  <si>
    <t xml:space="preserve">     NA</t>
  </si>
  <si>
    <t xml:space="preserve">    NA</t>
  </si>
  <si>
    <t xml:space="preserve">  Put Opt. @ Strike</t>
  </si>
  <si>
    <t xml:space="preserve">  Buy Call Opt @</t>
  </si>
  <si>
    <t>Cash and Buy Call @</t>
  </si>
  <si>
    <t xml:space="preserve">  &amp; Write Call @</t>
  </si>
  <si>
    <t>Earned LDP</t>
  </si>
  <si>
    <t>Advantage</t>
  </si>
  <si>
    <t>Days in Planning Horizon</t>
  </si>
  <si>
    <t>Interest Rate</t>
  </si>
  <si>
    <t>Interest on Margin</t>
  </si>
  <si>
    <t>Interest on Opt.</t>
  </si>
  <si>
    <t>Initial Margin per Bushel</t>
  </si>
  <si>
    <t>At the Money Strike Price =</t>
  </si>
  <si>
    <t>_____________</t>
  </si>
  <si>
    <t>_______</t>
  </si>
  <si>
    <t>______</t>
  </si>
  <si>
    <t>Store from What Date</t>
  </si>
  <si>
    <t>Net Prices Received</t>
  </si>
  <si>
    <t>Dollars</t>
  </si>
  <si>
    <t xml:space="preserve"> Interest</t>
  </si>
  <si>
    <t>Days</t>
  </si>
  <si>
    <t>Months</t>
  </si>
  <si>
    <t>Is this greather than 140%?</t>
  </si>
  <si>
    <t>If yes sell the Carry</t>
  </si>
  <si>
    <t>Launch and Land your Post Harvest Marketing Plan</t>
  </si>
  <si>
    <t>A. Is this greather than 140%?</t>
  </si>
  <si>
    <t>A2a if Yes then harvest sales</t>
  </si>
  <si>
    <t>A. Carry in the Futures Market? To July</t>
  </si>
  <si>
    <t>A1a if Yes then Store Unpriced</t>
  </si>
  <si>
    <t>A1b if No then is Basis Strong or Weak ?</t>
  </si>
  <si>
    <t>Are Futures Low?</t>
  </si>
  <si>
    <t>Are current Futures High?</t>
  </si>
  <si>
    <t>A1 If Yes, "Then sell the Carry"</t>
  </si>
  <si>
    <t>A2 If No, Then "Don't sell the Carry"</t>
  </si>
  <si>
    <t>A1b1 if Strong then Forward contract</t>
  </si>
  <si>
    <t>A1b2 if Weak use HTA or Futures</t>
  </si>
  <si>
    <t xml:space="preserve">  Min/Max - Buy Put Option</t>
  </si>
  <si>
    <t>Min/Max Net Cost of Options</t>
  </si>
  <si>
    <t>Fence</t>
  </si>
  <si>
    <t xml:space="preserve">  Min/Max Fence-Buy Put @</t>
  </si>
  <si>
    <t>Min/Max - Buy Put Option</t>
  </si>
  <si>
    <t>basis</t>
  </si>
  <si>
    <t>Carry in the Futures Market if on farm storage?</t>
  </si>
  <si>
    <t>Basis</t>
  </si>
  <si>
    <t>Storage Gain</t>
  </si>
  <si>
    <t>Net Gain</t>
  </si>
  <si>
    <t>Cash Market Price Gain</t>
  </si>
  <si>
    <t>Interest Expense</t>
  </si>
  <si>
    <t>Storage Expense</t>
  </si>
  <si>
    <t>Crop Store Alternatives - Current Facts</t>
  </si>
  <si>
    <t>Corn  21</t>
  </si>
  <si>
    <t>Albion Nov 22 Delivery</t>
  </si>
  <si>
    <t>Fees or Brokerage Cost per Bushel</t>
  </si>
  <si>
    <t>New Crop Current Facts</t>
  </si>
  <si>
    <t xml:space="preserve">Forward Pricing Alternatives </t>
  </si>
  <si>
    <t xml:space="preserve">  Basis Contract (70% paid up front)</t>
  </si>
  <si>
    <t xml:space="preserve">Fees/Brokerage Cost </t>
  </si>
  <si>
    <t>/Bu</t>
  </si>
  <si>
    <t>Breakeven Cost</t>
  </si>
  <si>
    <t>Net Value</t>
  </si>
  <si>
    <t xml:space="preserve"> Received</t>
  </si>
  <si>
    <t>Min/Max - Buy Put @</t>
  </si>
  <si>
    <t>(Use zero if vendor is covering margin calls)</t>
  </si>
  <si>
    <t>Soys 21</t>
  </si>
  <si>
    <t>2022 Soys</t>
  </si>
  <si>
    <t>Toledo OH</t>
  </si>
  <si>
    <t>Near by or Harvest Futures</t>
  </si>
  <si>
    <t>Near by or Harvest Cash Price</t>
  </si>
  <si>
    <r>
      <t xml:space="preserve">A2b if No </t>
    </r>
    <r>
      <rPr>
        <i/>
        <sz val="12"/>
        <rFont val="Arial"/>
        <family val="2"/>
      </rPr>
      <t>then store unpriced</t>
    </r>
    <r>
      <rPr>
        <sz val="12"/>
        <rFont val="Arial"/>
        <family val="2"/>
      </rPr>
      <t xml:space="preserve"> (or sell cash &amp; buy futures)</t>
    </r>
  </si>
  <si>
    <t>Net Prices Received After Storage &amp; Interest</t>
  </si>
  <si>
    <t>Corn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</si>
</sst>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0_)"/>
    <numFmt numFmtId="168" formatCode="#,##0.000"/>
    <numFmt numFmtId="169" formatCode="m/d/yy;@"/>
    <numFmt numFmtId="170" formatCode="[$-409]mmm\-yy;@"/>
    <numFmt numFmtId="171" formatCode="0.000_)"/>
    <numFmt numFmtId="172" formatCode="0.00_);\(0.00\)"/>
    <numFmt numFmtId="173" formatCode="[$-409]mmmm\ d\,\ yyyy;@"/>
    <numFmt numFmtId="174" formatCode="mm/dd/yy;@"/>
    <numFmt numFmtId="175" formatCode="[$-409]mmmm\-yy;@"/>
    <numFmt numFmtId="176" formatCode="&quot;$&quot;#,##0.00"/>
    <numFmt numFmtId="177" formatCode="0.0000_)"/>
    <numFmt numFmtId="182" formatCode="_(&quot;$&quot;* #,##0.000_);_(&quot;$&quot;* \(#,##0.000\);_(&quot;$&quot;* &quot;-&quot;??_);_(@_)"/>
    <numFmt numFmtId="188" formatCode="&quot;$&quot;#,##0.0000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3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 val="singleAccounting"/>
      <sz val="12"/>
      <name val="Arial"/>
      <family val="2"/>
    </font>
    <font>
      <u/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4" fontId="3" fillId="2" borderId="1" xfId="2" applyFont="1" applyFill="1" applyBorder="1" applyProtection="1">
      <protection locked="0"/>
    </xf>
    <xf numFmtId="0" fontId="3" fillId="0" borderId="0" xfId="0" applyFont="1" applyFill="1" applyBorder="1" applyAlignment="1">
      <alignment horizontal="right"/>
    </xf>
    <xf numFmtId="166" fontId="3" fillId="2" borderId="1" xfId="2" applyNumberFormat="1" applyFont="1" applyFill="1" applyBorder="1" applyProtection="1">
      <protection locked="0"/>
    </xf>
    <xf numFmtId="171" fontId="3" fillId="0" borderId="0" xfId="0" applyNumberFormat="1" applyFont="1" applyProtection="1"/>
    <xf numFmtId="171" fontId="3" fillId="0" borderId="0" xfId="0" applyNumberFormat="1" applyFont="1" applyAlignment="1" applyProtection="1">
      <alignment horizontal="right"/>
    </xf>
    <xf numFmtId="168" fontId="3" fillId="2" borderId="1" xfId="0" applyNumberFormat="1" applyFont="1" applyFill="1" applyBorder="1" applyProtection="1">
      <protection locked="0"/>
    </xf>
    <xf numFmtId="171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171" fontId="4" fillId="0" borderId="2" xfId="0" applyNumberFormat="1" applyFont="1" applyBorder="1" applyAlignment="1" applyProtection="1">
      <alignment horizontal="left"/>
    </xf>
    <xf numFmtId="171" fontId="4" fillId="0" borderId="3" xfId="0" applyNumberFormat="1" applyFont="1" applyBorder="1" applyProtection="1"/>
    <xf numFmtId="171" fontId="4" fillId="0" borderId="4" xfId="0" applyNumberFormat="1" applyFont="1" applyBorder="1" applyProtection="1"/>
    <xf numFmtId="169" fontId="5" fillId="0" borderId="0" xfId="0" quotePrefix="1" applyNumberFormat="1" applyFont="1" applyAlignment="1" applyProtection="1">
      <alignment horizontal="left"/>
      <protection locked="0"/>
    </xf>
    <xf numFmtId="171" fontId="4" fillId="0" borderId="5" xfId="0" applyNumberFormat="1" applyFont="1" applyBorder="1" applyProtection="1"/>
    <xf numFmtId="171" fontId="4" fillId="0" borderId="0" xfId="0" applyNumberFormat="1" applyFont="1" applyBorder="1" applyProtection="1"/>
    <xf numFmtId="171" fontId="3" fillId="0" borderId="6" xfId="0" applyNumberFormat="1" applyFont="1" applyBorder="1" applyProtection="1"/>
    <xf numFmtId="171" fontId="4" fillId="0" borderId="5" xfId="0" applyNumberFormat="1" applyFont="1" applyBorder="1" applyAlignment="1" applyProtection="1">
      <alignment horizontal="left"/>
    </xf>
    <xf numFmtId="171" fontId="4" fillId="0" borderId="6" xfId="0" applyNumberFormat="1" applyFont="1" applyBorder="1" applyProtection="1"/>
    <xf numFmtId="171" fontId="3" fillId="0" borderId="5" xfId="0" applyNumberFormat="1" applyFont="1" applyBorder="1" applyAlignment="1" applyProtection="1">
      <alignment horizontal="left"/>
    </xf>
    <xf numFmtId="171" fontId="3" fillId="0" borderId="0" xfId="0" applyNumberFormat="1" applyFont="1" applyBorder="1" applyProtection="1"/>
    <xf numFmtId="170" fontId="4" fillId="0" borderId="5" xfId="0" applyNumberFormat="1" applyFont="1" applyBorder="1" applyAlignment="1">
      <alignment horizontal="center"/>
    </xf>
    <xf numFmtId="171" fontId="3" fillId="0" borderId="0" xfId="0" applyNumberFormat="1" applyFont="1" applyBorder="1" applyAlignment="1" applyProtection="1">
      <alignment horizontal="left"/>
    </xf>
    <xf numFmtId="171" fontId="5" fillId="0" borderId="6" xfId="0" applyNumberFormat="1" applyFont="1" applyBorder="1" applyProtection="1">
      <protection locked="0"/>
    </xf>
    <xf numFmtId="171" fontId="3" fillId="0" borderId="5" xfId="0" applyNumberFormat="1" applyFont="1" applyBorder="1" applyProtection="1"/>
    <xf numFmtId="171" fontId="3" fillId="0" borderId="5" xfId="0" applyNumberFormat="1" applyFont="1" applyBorder="1" applyAlignment="1" applyProtection="1">
      <alignment horizontal="right"/>
    </xf>
    <xf numFmtId="0" fontId="3" fillId="0" borderId="5" xfId="0" applyFont="1" applyBorder="1"/>
    <xf numFmtId="0" fontId="3" fillId="0" borderId="0" xfId="0" applyFont="1" applyBorder="1"/>
    <xf numFmtId="171" fontId="5" fillId="0" borderId="0" xfId="0" applyNumberFormat="1" applyFont="1" applyBorder="1" applyProtection="1">
      <protection locked="0"/>
    </xf>
    <xf numFmtId="171" fontId="4" fillId="0" borderId="0" xfId="0" applyNumberFormat="1" applyFont="1" applyBorder="1" applyAlignment="1" applyProtection="1">
      <alignment horizontal="left"/>
    </xf>
    <xf numFmtId="170" fontId="5" fillId="0" borderId="0" xfId="0" applyNumberFormat="1" applyFont="1" applyAlignment="1" applyProtection="1">
      <alignment horizontal="left"/>
      <protection locked="0"/>
    </xf>
    <xf numFmtId="171" fontId="4" fillId="0" borderId="0" xfId="0" applyNumberFormat="1" applyFont="1" applyProtection="1"/>
    <xf numFmtId="171" fontId="3" fillId="0" borderId="7" xfId="0" applyNumberFormat="1" applyFont="1" applyBorder="1" applyAlignment="1" applyProtection="1">
      <alignment horizontal="left"/>
    </xf>
    <xf numFmtId="171" fontId="3" fillId="0" borderId="8" xfId="0" applyNumberFormat="1" applyFont="1" applyBorder="1" applyProtection="1"/>
    <xf numFmtId="171" fontId="3" fillId="0" borderId="9" xfId="0" applyNumberFormat="1" applyFont="1" applyBorder="1" applyProtection="1"/>
    <xf numFmtId="17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7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73" fontId="3" fillId="2" borderId="1" xfId="0" applyNumberFormat="1" applyFont="1" applyFill="1" applyBorder="1" applyProtection="1">
      <protection locked="0"/>
    </xf>
    <xf numFmtId="173" fontId="3" fillId="2" borderId="10" xfId="0" applyNumberFormat="1" applyFont="1" applyFill="1" applyBorder="1" applyProtection="1">
      <protection locked="0"/>
    </xf>
    <xf numFmtId="10" fontId="3" fillId="2" borderId="1" xfId="2" applyNumberFormat="1" applyFont="1" applyFill="1" applyBorder="1" applyProtection="1">
      <protection locked="0"/>
    </xf>
    <xf numFmtId="0" fontId="3" fillId="0" borderId="6" xfId="0" applyFont="1" applyBorder="1"/>
    <xf numFmtId="175" fontId="4" fillId="0" borderId="0" xfId="0" applyNumberFormat="1" applyFont="1" applyAlignment="1">
      <alignment horizontal="center"/>
    </xf>
    <xf numFmtId="176" fontId="3" fillId="0" borderId="0" xfId="0" applyNumberFormat="1" applyFont="1"/>
    <xf numFmtId="167" fontId="3" fillId="0" borderId="0" xfId="0" applyNumberFormat="1" applyFont="1" applyBorder="1" applyAlignment="1">
      <alignment horizontal="center"/>
    </xf>
    <xf numFmtId="44" fontId="3" fillId="0" borderId="0" xfId="2" applyFont="1"/>
    <xf numFmtId="44" fontId="3" fillId="0" borderId="0" xfId="2" applyFont="1" applyBorder="1" applyAlignment="1">
      <alignment horizontal="center"/>
    </xf>
    <xf numFmtId="44" fontId="3" fillId="0" borderId="0" xfId="2" applyFont="1" applyBorder="1"/>
    <xf numFmtId="166" fontId="3" fillId="0" borderId="0" xfId="0" applyNumberFormat="1" applyFont="1"/>
    <xf numFmtId="171" fontId="3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71" fontId="3" fillId="0" borderId="0" xfId="0" applyNumberFormat="1" applyFont="1" applyBorder="1" applyAlignment="1" applyProtection="1">
      <alignment horizontal="right"/>
    </xf>
    <xf numFmtId="10" fontId="3" fillId="2" borderId="1" xfId="3" applyNumberFormat="1" applyFont="1" applyFill="1" applyBorder="1" applyProtection="1">
      <protection locked="0"/>
    </xf>
    <xf numFmtId="44" fontId="3" fillId="2" borderId="1" xfId="2" applyNumberFormat="1" applyFont="1" applyFill="1" applyBorder="1" applyProtection="1">
      <protection locked="0"/>
    </xf>
    <xf numFmtId="44" fontId="3" fillId="0" borderId="0" xfId="2" applyFont="1" applyFill="1" applyBorder="1" applyAlignment="1">
      <alignment horizontal="right"/>
    </xf>
    <xf numFmtId="1" fontId="3" fillId="0" borderId="0" xfId="0" applyNumberFormat="1" applyFont="1"/>
    <xf numFmtId="169" fontId="5" fillId="0" borderId="0" xfId="0" applyNumberFormat="1" applyFont="1" applyAlignment="1" applyProtection="1">
      <alignment horizontal="left"/>
      <protection locked="0"/>
    </xf>
    <xf numFmtId="0" fontId="0" fillId="0" borderId="0" xfId="0" applyBorder="1"/>
    <xf numFmtId="171" fontId="4" fillId="0" borderId="3" xfId="0" applyNumberFormat="1" applyFont="1" applyBorder="1" applyAlignment="1" applyProtection="1">
      <alignment horizontal="left"/>
    </xf>
    <xf numFmtId="171" fontId="3" fillId="0" borderId="8" xfId="0" applyNumberFormat="1" applyFont="1" applyBorder="1" applyAlignment="1" applyProtection="1">
      <alignment horizontal="left"/>
    </xf>
    <xf numFmtId="0" fontId="0" fillId="0" borderId="5" xfId="0" applyBorder="1"/>
    <xf numFmtId="0" fontId="0" fillId="0" borderId="6" xfId="0" applyBorder="1"/>
    <xf numFmtId="44" fontId="3" fillId="0" borderId="0" xfId="0" applyNumberFormat="1" applyFont="1"/>
    <xf numFmtId="166" fontId="3" fillId="2" borderId="12" xfId="2" applyNumberFormat="1" applyFont="1" applyFill="1" applyBorder="1" applyProtection="1">
      <protection locked="0"/>
    </xf>
    <xf numFmtId="0" fontId="4" fillId="0" borderId="0" xfId="0" applyFont="1" applyBorder="1"/>
    <xf numFmtId="9" fontId="3" fillId="0" borderId="0" xfId="0" applyNumberFormat="1" applyFont="1"/>
    <xf numFmtId="9" fontId="3" fillId="3" borderId="1" xfId="3" applyFont="1" applyFill="1" applyBorder="1"/>
    <xf numFmtId="44" fontId="9" fillId="0" borderId="0" xfId="0" applyNumberFormat="1" applyFont="1"/>
    <xf numFmtId="166" fontId="3" fillId="2" borderId="13" xfId="2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Border="1" applyAlignment="1">
      <alignment horizontal="center"/>
    </xf>
    <xf numFmtId="171" fontId="3" fillId="7" borderId="7" xfId="0" applyNumberFormat="1" applyFont="1" applyFill="1" applyBorder="1" applyAlignment="1" applyProtection="1">
      <alignment horizontal="left"/>
    </xf>
    <xf numFmtId="171" fontId="3" fillId="7" borderId="8" xfId="0" applyNumberFormat="1" applyFont="1" applyFill="1" applyBorder="1" applyProtection="1"/>
    <xf numFmtId="171" fontId="3" fillId="7" borderId="9" xfId="0" applyNumberFormat="1" applyFont="1" applyFill="1" applyBorder="1" applyProtection="1"/>
    <xf numFmtId="177" fontId="3" fillId="7" borderId="9" xfId="0" applyNumberFormat="1" applyFont="1" applyFill="1" applyBorder="1" applyProtection="1"/>
    <xf numFmtId="177" fontId="3" fillId="7" borderId="8" xfId="0" applyNumberFormat="1" applyFont="1" applyFill="1" applyBorder="1" applyProtection="1"/>
    <xf numFmtId="0" fontId="7" fillId="0" borderId="5" xfId="0" applyFont="1" applyBorder="1"/>
    <xf numFmtId="0" fontId="7" fillId="0" borderId="7" xfId="0" applyFont="1" applyBorder="1"/>
    <xf numFmtId="0" fontId="7" fillId="0" borderId="0" xfId="0" applyFont="1" applyAlignment="1" applyProtection="1">
      <alignment horizontal="lef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2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10" fillId="0" borderId="2" xfId="0" applyFont="1" applyBorder="1"/>
    <xf numFmtId="0" fontId="10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10" fillId="0" borderId="5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171" fontId="7" fillId="0" borderId="5" xfId="0" applyNumberFormat="1" applyFont="1" applyBorder="1" applyAlignment="1" applyProtection="1">
      <alignment horizontal="left"/>
    </xf>
    <xf numFmtId="166" fontId="7" fillId="0" borderId="6" xfId="0" applyNumberFormat="1" applyFont="1" applyBorder="1"/>
    <xf numFmtId="170" fontId="7" fillId="0" borderId="5" xfId="0" applyNumberFormat="1" applyFont="1" applyBorder="1" applyProtection="1"/>
    <xf numFmtId="44" fontId="7" fillId="0" borderId="6" xfId="2" applyFont="1" applyBorder="1"/>
    <xf numFmtId="44" fontId="7" fillId="0" borderId="0" xfId="2" applyFont="1" applyBorder="1"/>
    <xf numFmtId="171" fontId="7" fillId="0" borderId="0" xfId="0" applyNumberFormat="1" applyFont="1" applyBorder="1" applyProtection="1"/>
    <xf numFmtId="44" fontId="7" fillId="0" borderId="6" xfId="0" applyNumberFormat="1" applyFont="1" applyBorder="1"/>
    <xf numFmtId="164" fontId="7" fillId="0" borderId="5" xfId="0" applyNumberFormat="1" applyFont="1" applyBorder="1"/>
    <xf numFmtId="10" fontId="7" fillId="0" borderId="0" xfId="0" applyNumberFormat="1" applyFont="1"/>
    <xf numFmtId="44" fontId="7" fillId="0" borderId="0" xfId="0" applyNumberFormat="1" applyFont="1"/>
    <xf numFmtId="171" fontId="7" fillId="0" borderId="5" xfId="0" applyNumberFormat="1" applyFont="1" applyBorder="1" applyProtection="1"/>
    <xf numFmtId="44" fontId="7" fillId="0" borderId="6" xfId="2" applyFont="1" applyBorder="1" applyProtection="1"/>
    <xf numFmtId="170" fontId="7" fillId="0" borderId="0" xfId="0" applyNumberFormat="1" applyFont="1" applyBorder="1"/>
    <xf numFmtId="171" fontId="7" fillId="0" borderId="0" xfId="0" applyNumberFormat="1" applyFont="1" applyProtection="1"/>
    <xf numFmtId="44" fontId="10" fillId="0" borderId="6" xfId="2" applyFont="1" applyBorder="1" applyProtection="1"/>
    <xf numFmtId="168" fontId="7" fillId="0" borderId="6" xfId="0" applyNumberFormat="1" applyFont="1" applyBorder="1"/>
    <xf numFmtId="171" fontId="7" fillId="0" borderId="7" xfId="0" applyNumberFormat="1" applyFont="1" applyBorder="1" applyAlignment="1" applyProtection="1">
      <alignment horizontal="left"/>
    </xf>
    <xf numFmtId="0" fontId="7" fillId="0" borderId="8" xfId="0" applyFont="1" applyBorder="1"/>
    <xf numFmtId="168" fontId="7" fillId="0" borderId="9" xfId="0" applyNumberFormat="1" applyFont="1" applyBorder="1"/>
    <xf numFmtId="0" fontId="7" fillId="0" borderId="9" xfId="0" applyFont="1" applyBorder="1"/>
    <xf numFmtId="44" fontId="7" fillId="0" borderId="9" xfId="2" applyFont="1" applyBorder="1"/>
    <xf numFmtId="167" fontId="7" fillId="0" borderId="0" xfId="0" applyNumberFormat="1" applyFont="1" applyProtection="1"/>
    <xf numFmtId="167" fontId="10" fillId="0" borderId="0" xfId="0" applyNumberFormat="1" applyFont="1" applyAlignment="1" applyProtection="1">
      <alignment horizontal="right"/>
    </xf>
    <xf numFmtId="167" fontId="7" fillId="0" borderId="0" xfId="0" applyNumberFormat="1" applyFont="1" applyAlignment="1" applyProtection="1">
      <alignment horizontal="left"/>
    </xf>
    <xf numFmtId="174" fontId="7" fillId="0" borderId="0" xfId="0" applyNumberFormat="1" applyFont="1" applyProtection="1"/>
    <xf numFmtId="44" fontId="7" fillId="0" borderId="0" xfId="2" applyFont="1"/>
    <xf numFmtId="44" fontId="7" fillId="0" borderId="0" xfId="2" applyFont="1" applyProtection="1"/>
    <xf numFmtId="44" fontId="7" fillId="0" borderId="0" xfId="2" applyNumberFormat="1" applyFont="1"/>
    <xf numFmtId="44" fontId="7" fillId="7" borderId="0" xfId="2" applyFont="1" applyFill="1"/>
    <xf numFmtId="44" fontId="7" fillId="7" borderId="0" xfId="2" applyNumberFormat="1" applyFont="1" applyFill="1"/>
    <xf numFmtId="44" fontId="7" fillId="7" borderId="0" xfId="2" applyFont="1" applyFill="1" applyProtection="1"/>
    <xf numFmtId="171" fontId="7" fillId="0" borderId="0" xfId="0" applyNumberFormat="1" applyFont="1" applyAlignment="1" applyProtection="1">
      <alignment horizontal="left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71" fontId="7" fillId="0" borderId="0" xfId="0" applyNumberFormat="1" applyFont="1" applyAlignment="1" applyProtection="1">
      <alignment horizontal="right"/>
    </xf>
    <xf numFmtId="167" fontId="7" fillId="0" borderId="0" xfId="0" applyNumberFormat="1" applyFont="1" applyAlignment="1" applyProtection="1">
      <alignment horizontal="right"/>
    </xf>
    <xf numFmtId="0" fontId="7" fillId="0" borderId="0" xfId="0" applyFont="1" applyAlignment="1">
      <alignment horizontal="center"/>
    </xf>
    <xf numFmtId="171" fontId="7" fillId="0" borderId="0" xfId="0" applyNumberFormat="1" applyFont="1" applyAlignment="1" applyProtection="1"/>
    <xf numFmtId="167" fontId="7" fillId="0" borderId="0" xfId="0" applyNumberFormat="1" applyFont="1" applyAlignment="1" applyProtection="1">
      <alignment horizontal="center"/>
    </xf>
    <xf numFmtId="171" fontId="7" fillId="0" borderId="0" xfId="0" applyNumberFormat="1" applyFont="1" applyAlignment="1" applyProtection="1">
      <alignment horizontal="center"/>
    </xf>
    <xf numFmtId="171" fontId="10" fillId="0" borderId="0" xfId="0" applyNumberFormat="1" applyFont="1" applyAlignment="1" applyProtection="1">
      <alignment horizontal="right"/>
    </xf>
    <xf numFmtId="167" fontId="10" fillId="0" borderId="0" xfId="0" applyNumberFormat="1" applyFont="1" applyProtection="1"/>
    <xf numFmtId="167" fontId="10" fillId="0" borderId="0" xfId="0" applyNumberFormat="1" applyFont="1" applyAlignment="1" applyProtection="1">
      <alignment horizontal="left"/>
    </xf>
    <xf numFmtId="167" fontId="10" fillId="0" borderId="0" xfId="0" applyNumberFormat="1" applyFont="1" applyAlignment="1" applyProtection="1">
      <alignment horizontal="center"/>
    </xf>
    <xf numFmtId="0" fontId="10" fillId="0" borderId="0" xfId="0" applyFont="1"/>
    <xf numFmtId="171" fontId="10" fillId="0" borderId="0" xfId="0" applyNumberFormat="1" applyFont="1" applyAlignment="1" applyProtection="1">
      <alignment horizontal="center"/>
    </xf>
    <xf numFmtId="171" fontId="10" fillId="0" borderId="0" xfId="0" applyNumberFormat="1" applyFont="1" applyProtection="1"/>
    <xf numFmtId="167" fontId="7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167" fontId="6" fillId="0" borderId="14" xfId="0" applyNumberFormat="1" applyFont="1" applyBorder="1" applyAlignment="1">
      <alignment horizontal="center"/>
    </xf>
    <xf numFmtId="167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7" fontId="3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7" fontId="6" fillId="0" borderId="17" xfId="0" applyNumberFormat="1" applyFont="1" applyBorder="1" applyAlignment="1">
      <alignment horizontal="center"/>
    </xf>
    <xf numFmtId="167" fontId="3" fillId="0" borderId="18" xfId="0" applyNumberFormat="1" applyFont="1" applyBorder="1" applyAlignment="1">
      <alignment horizontal="center"/>
    </xf>
    <xf numFmtId="167" fontId="6" fillId="0" borderId="19" xfId="0" applyNumberFormat="1" applyFont="1" applyBorder="1" applyAlignment="1">
      <alignment horizontal="center"/>
    </xf>
    <xf numFmtId="167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7" fontId="3" fillId="0" borderId="21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left"/>
    </xf>
    <xf numFmtId="167" fontId="3" fillId="0" borderId="20" xfId="0" applyNumberFormat="1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0" fillId="0" borderId="15" xfId="0" applyBorder="1"/>
    <xf numFmtId="0" fontId="3" fillId="0" borderId="16" xfId="0" applyFont="1" applyBorder="1"/>
    <xf numFmtId="0" fontId="3" fillId="0" borderId="17" xfId="0" applyFont="1" applyBorder="1"/>
    <xf numFmtId="0" fontId="4" fillId="0" borderId="0" xfId="0" applyFont="1" applyBorder="1" applyAlignment="1">
      <alignment horizontal="left"/>
    </xf>
    <xf numFmtId="0" fontId="3" fillId="0" borderId="18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right"/>
    </xf>
    <xf numFmtId="44" fontId="3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Fill="1" applyBorder="1"/>
    <xf numFmtId="0" fontId="3" fillId="0" borderId="15" xfId="0" applyFont="1" applyFill="1" applyBorder="1"/>
    <xf numFmtId="170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171" fontId="3" fillId="0" borderId="19" xfId="0" applyNumberFormat="1" applyFont="1" applyFill="1" applyBorder="1" applyProtection="1"/>
    <xf numFmtId="171" fontId="3" fillId="0" borderId="20" xfId="0" applyNumberFormat="1" applyFont="1" applyFill="1" applyBorder="1" applyProtection="1"/>
    <xf numFmtId="0" fontId="3" fillId="0" borderId="2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44" fontId="3" fillId="0" borderId="20" xfId="2" applyFont="1" applyFill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44" fontId="3" fillId="0" borderId="21" xfId="2" applyFont="1" applyFill="1" applyBorder="1" applyAlignment="1">
      <alignment horizontal="center"/>
    </xf>
    <xf numFmtId="44" fontId="6" fillId="0" borderId="14" xfId="2" applyFont="1" applyFill="1" applyBorder="1" applyAlignment="1">
      <alignment horizontal="center"/>
    </xf>
    <xf numFmtId="44" fontId="3" fillId="0" borderId="15" xfId="2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44" fontId="3" fillId="0" borderId="16" xfId="2" applyFont="1" applyFill="1" applyBorder="1" applyAlignment="1">
      <alignment horizontal="center"/>
    </xf>
    <xf numFmtId="44" fontId="6" fillId="0" borderId="17" xfId="2" applyFont="1" applyFill="1" applyBorder="1" applyAlignment="1">
      <alignment horizontal="center"/>
    </xf>
    <xf numFmtId="44" fontId="6" fillId="0" borderId="17" xfId="2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69" fontId="3" fillId="2" borderId="1" xfId="0" applyNumberFormat="1" applyFont="1" applyFill="1" applyBorder="1" applyAlignment="1" applyProtection="1">
      <alignment horizontal="left"/>
      <protection locked="0"/>
    </xf>
    <xf numFmtId="169" fontId="3" fillId="0" borderId="1" xfId="0" applyNumberFormat="1" applyFont="1" applyBorder="1" applyAlignment="1">
      <alignment horizontal="left"/>
    </xf>
    <xf numFmtId="173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170" fontId="3" fillId="2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 wrapText="1"/>
    </xf>
    <xf numFmtId="173" fontId="3" fillId="2" borderId="12" xfId="0" applyNumberFormat="1" applyFont="1" applyFill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17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171" fontId="4" fillId="0" borderId="0" xfId="0" applyNumberFormat="1" applyFont="1" applyBorder="1" applyAlignment="1" applyProtection="1">
      <alignment horizontal="center"/>
    </xf>
    <xf numFmtId="171" fontId="3" fillId="0" borderId="17" xfId="0" applyNumberFormat="1" applyFont="1" applyBorder="1" applyAlignment="1" applyProtection="1">
      <alignment horizontal="right"/>
    </xf>
    <xf numFmtId="171" fontId="3" fillId="0" borderId="19" xfId="0" applyNumberFormat="1" applyFont="1" applyBorder="1" applyAlignment="1" applyProtection="1">
      <alignment horizontal="right"/>
    </xf>
    <xf numFmtId="168" fontId="3" fillId="2" borderId="22" xfId="0" applyNumberFormat="1" applyFont="1" applyFill="1" applyBorder="1" applyProtection="1">
      <protection locked="0"/>
    </xf>
    <xf numFmtId="0" fontId="3" fillId="0" borderId="21" xfId="0" applyFont="1" applyBorder="1"/>
    <xf numFmtId="166" fontId="3" fillId="2" borderId="22" xfId="2" applyNumberFormat="1" applyFont="1" applyFill="1" applyBorder="1" applyProtection="1">
      <protection locked="0"/>
    </xf>
    <xf numFmtId="188" fontId="14" fillId="0" borderId="1" xfId="0" applyNumberFormat="1" applyFont="1" applyBorder="1" applyAlignment="1">
      <alignment horizontal="left"/>
    </xf>
    <xf numFmtId="0" fontId="15" fillId="0" borderId="0" xfId="0" applyFont="1"/>
    <xf numFmtId="0" fontId="14" fillId="0" borderId="0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188" fontId="14" fillId="0" borderId="11" xfId="0" applyNumberFormat="1" applyFont="1" applyBorder="1" applyAlignment="1">
      <alignment horizontal="left"/>
    </xf>
    <xf numFmtId="0" fontId="8" fillId="0" borderId="0" xfId="0" applyFont="1"/>
    <xf numFmtId="0" fontId="16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/>
    <xf numFmtId="44" fontId="8" fillId="0" borderId="0" xfId="2" applyFont="1"/>
    <xf numFmtId="9" fontId="8" fillId="3" borderId="0" xfId="3" applyFont="1" applyFill="1"/>
    <xf numFmtId="0" fontId="8" fillId="6" borderId="0" xfId="0" applyFont="1" applyFill="1"/>
    <xf numFmtId="0" fontId="8" fillId="5" borderId="0" xfId="0" applyFont="1" applyFill="1"/>
    <xf numFmtId="0" fontId="8" fillId="2" borderId="0" xfId="0" applyFont="1" applyFill="1"/>
    <xf numFmtId="0" fontId="8" fillId="4" borderId="0" xfId="0" applyFont="1" applyFill="1"/>
    <xf numFmtId="44" fontId="3" fillId="0" borderId="0" xfId="0" applyNumberFormat="1" applyFont="1" applyBorder="1"/>
    <xf numFmtId="44" fontId="18" fillId="2" borderId="12" xfId="2" applyNumberFormat="1" applyFont="1" applyFill="1" applyBorder="1" applyProtection="1">
      <protection locked="0"/>
    </xf>
    <xf numFmtId="44" fontId="18" fillId="2" borderId="1" xfId="2" applyFon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21" xfId="0" applyBorder="1"/>
    <xf numFmtId="0" fontId="7" fillId="0" borderId="0" xfId="0" applyFont="1" applyBorder="1" applyAlignment="1">
      <alignment horizontal="right"/>
    </xf>
    <xf numFmtId="176" fontId="7" fillId="0" borderId="1" xfId="0" applyNumberFormat="1" applyFont="1" applyBorder="1" applyAlignment="1">
      <alignment horizontal="left"/>
    </xf>
    <xf numFmtId="0" fontId="7" fillId="0" borderId="12" xfId="0" applyFont="1" applyBorder="1" applyAlignment="1">
      <alignment horizontal="right"/>
    </xf>
    <xf numFmtId="176" fontId="7" fillId="0" borderId="11" xfId="0" applyNumberFormat="1" applyFont="1" applyBorder="1" applyAlignment="1">
      <alignment horizontal="left"/>
    </xf>
    <xf numFmtId="176" fontId="7" fillId="0" borderId="0" xfId="0" applyNumberFormat="1" applyFont="1"/>
    <xf numFmtId="0" fontId="19" fillId="0" borderId="15" xfId="0" applyFont="1" applyBorder="1" applyAlignment="1">
      <alignment horizontal="center"/>
    </xf>
    <xf numFmtId="165" fontId="7" fillId="0" borderId="0" xfId="1" applyNumberFormat="1" applyFont="1" applyBorder="1"/>
    <xf numFmtId="164" fontId="7" fillId="0" borderId="0" xfId="0" applyNumberFormat="1" applyFont="1" applyBorder="1"/>
    <xf numFmtId="44" fontId="7" fillId="0" borderId="0" xfId="0" applyNumberFormat="1" applyFont="1" applyBorder="1"/>
    <xf numFmtId="166" fontId="7" fillId="0" borderId="6" xfId="2" applyNumberFormat="1" applyFont="1" applyBorder="1"/>
    <xf numFmtId="182" fontId="7" fillId="0" borderId="6" xfId="2" applyNumberFormat="1" applyFont="1" applyBorder="1" applyProtection="1"/>
    <xf numFmtId="166" fontId="7" fillId="0" borderId="6" xfId="2" applyNumberFormat="1" applyFont="1" applyBorder="1" applyProtection="1"/>
    <xf numFmtId="170" fontId="7" fillId="0" borderId="5" xfId="0" applyNumberFormat="1" applyFont="1" applyBorder="1" applyAlignment="1" applyProtection="1">
      <alignment horizontal="center"/>
    </xf>
    <xf numFmtId="170" fontId="7" fillId="0" borderId="0" xfId="0" applyNumberFormat="1" applyFont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7" fillId="0" borderId="18" xfId="0" applyFont="1" applyBorder="1"/>
    <xf numFmtId="0" fontId="7" fillId="0" borderId="5" xfId="0" applyFont="1" applyBorder="1" applyAlignment="1" applyProtection="1">
      <alignment horizontal="left"/>
    </xf>
    <xf numFmtId="167" fontId="6" fillId="0" borderId="0" xfId="0" applyNumberFormat="1" applyFont="1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9" xfId="0" applyBorder="1"/>
    <xf numFmtId="171" fontId="3" fillId="0" borderId="20" xfId="0" applyNumberFormat="1" applyFont="1" applyBorder="1" applyAlignment="1">
      <alignment horizontal="right"/>
    </xf>
    <xf numFmtId="167" fontId="3" fillId="0" borderId="20" xfId="0" applyNumberFormat="1" applyFont="1" applyBorder="1" applyAlignment="1">
      <alignment horizontal="right"/>
    </xf>
    <xf numFmtId="175" fontId="4" fillId="0" borderId="17" xfId="0" applyNumberFormat="1" applyFont="1" applyBorder="1" applyAlignment="1">
      <alignment horizontal="center"/>
    </xf>
    <xf numFmtId="44" fontId="3" fillId="0" borderId="1" xfId="2" applyFont="1" applyFill="1" applyBorder="1" applyAlignment="1">
      <alignment horizontal="right"/>
    </xf>
    <xf numFmtId="44" fontId="3" fillId="2" borderId="23" xfId="2" applyFont="1" applyFill="1" applyBorder="1" applyProtection="1">
      <protection locked="0"/>
    </xf>
    <xf numFmtId="0" fontId="13" fillId="0" borderId="1" xfId="0" applyFont="1" applyBorder="1" applyAlignment="1">
      <alignment horizontal="left"/>
    </xf>
    <xf numFmtId="0" fontId="4" fillId="0" borderId="15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46</xdr:row>
      <xdr:rowOff>83820</xdr:rowOff>
    </xdr:from>
    <xdr:to>
      <xdr:col>4</xdr:col>
      <xdr:colOff>327660</xdr:colOff>
      <xdr:row>46</xdr:row>
      <xdr:rowOff>91440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A511426-D592-4F77-BD5C-A8817087669E}"/>
            </a:ext>
          </a:extLst>
        </xdr:cNvPr>
        <xdr:cNvSpPr>
          <a:spLocks noChangeShapeType="1"/>
        </xdr:cNvSpPr>
      </xdr:nvSpPr>
      <xdr:spPr bwMode="auto">
        <a:xfrm>
          <a:off x="1341120" y="7795260"/>
          <a:ext cx="1424940" cy="7620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476771</xdr:colOff>
      <xdr:row>0</xdr:row>
      <xdr:rowOff>29994</xdr:rowOff>
    </xdr:from>
    <xdr:to>
      <xdr:col>14</xdr:col>
      <xdr:colOff>282488</xdr:colOff>
      <xdr:row>64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9F4042-F119-47E5-99E0-3A9C07F9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771" y="29994"/>
          <a:ext cx="8340117" cy="10790406"/>
        </a:xfrm>
        <a:prstGeom prst="rect">
          <a:avLst/>
        </a:prstGeom>
      </xdr:spPr>
    </xdr:pic>
    <xdr:clientData/>
  </xdr:twoCellAnchor>
  <xdr:twoCellAnchor editAs="oneCell">
    <xdr:from>
      <xdr:col>14</xdr:col>
      <xdr:colOff>259080</xdr:colOff>
      <xdr:row>0</xdr:row>
      <xdr:rowOff>15240</xdr:rowOff>
    </xdr:from>
    <xdr:to>
      <xdr:col>21</xdr:col>
      <xdr:colOff>123088</xdr:colOff>
      <xdr:row>36</xdr:row>
      <xdr:rowOff>91440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C8E394C7-2A56-4FB6-87B7-939E5C0F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5240"/>
          <a:ext cx="4131208" cy="611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235672</xdr:colOff>
      <xdr:row>1</xdr:row>
      <xdr:rowOff>173008</xdr:rowOff>
    </xdr:from>
    <xdr:to>
      <xdr:col>8</xdr:col>
      <xdr:colOff>480060</xdr:colOff>
      <xdr:row>12</xdr:row>
      <xdr:rowOff>154785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8FC41B3-224F-4E26-8D84-0FDF6433C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352" y="439708"/>
          <a:ext cx="1471208" cy="2176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0</xdr:rowOff>
    </xdr:from>
    <xdr:to>
      <xdr:col>8</xdr:col>
      <xdr:colOff>594360</xdr:colOff>
      <xdr:row>10</xdr:row>
      <xdr:rowOff>1755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CB88733-B520-4277-8F91-E761F3D70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180" y="0"/>
          <a:ext cx="1386840" cy="205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1</xdr:row>
      <xdr:rowOff>190500</xdr:rowOff>
    </xdr:from>
    <xdr:to>
      <xdr:col>8</xdr:col>
      <xdr:colOff>477716</xdr:colOff>
      <xdr:row>12</xdr:row>
      <xdr:rowOff>145456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FA92537-38D5-4880-B667-5A5D59C18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457200"/>
          <a:ext cx="1453076" cy="214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22860</xdr:rowOff>
    </xdr:from>
    <xdr:to>
      <xdr:col>8</xdr:col>
      <xdr:colOff>569156</xdr:colOff>
      <xdr:row>9</xdr:row>
      <xdr:rowOff>185450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DFDDFD-A88D-4E7A-AE6F-C648B612F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180" y="22860"/>
          <a:ext cx="1361636" cy="201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1528-5B1F-4FE9-AE6F-C34B1E7A9BFC}">
  <dimension ref="A1"/>
  <sheetViews>
    <sheetView tabSelected="1" workbookViewId="0">
      <selection activeCell="U18" sqref="U18"/>
    </sheetView>
  </sheetViews>
  <sheetFormatPr defaultRowHeight="13.2" x14ac:dyDescent="0.25"/>
  <sheetData/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114"/>
  <sheetViews>
    <sheetView zoomScaleNormal="100" workbookViewId="0">
      <selection activeCell="C12" sqref="C12"/>
    </sheetView>
  </sheetViews>
  <sheetFormatPr defaultRowHeight="13.2" x14ac:dyDescent="0.25"/>
  <cols>
    <col min="1" max="1" width="37.88671875" customWidth="1"/>
    <col min="2" max="2" width="12.44140625" customWidth="1"/>
    <col min="3" max="3" width="9.77734375" customWidth="1"/>
    <col min="4" max="4" width="13.6640625" customWidth="1"/>
    <col min="5" max="5" width="4.6640625" customWidth="1"/>
    <col min="6" max="6" width="12" bestFit="1" customWidth="1"/>
    <col min="7" max="7" width="15.109375" customWidth="1"/>
    <col min="8" max="8" width="2.77734375" customWidth="1"/>
    <col min="9" max="16" width="10.77734375" customWidth="1"/>
    <col min="17" max="17" width="12.33203125" bestFit="1" customWidth="1"/>
  </cols>
  <sheetData>
    <row r="1" spans="1:21" ht="21" x14ac:dyDescent="0.4">
      <c r="A1" s="259" t="s">
        <v>200</v>
      </c>
      <c r="B1" s="260" t="s">
        <v>199</v>
      </c>
      <c r="C1" s="161"/>
      <c r="D1" s="163"/>
      <c r="E1" s="1"/>
      <c r="F1" s="1"/>
      <c r="G1" s="1"/>
      <c r="H1" s="1"/>
      <c r="I1" s="1"/>
      <c r="J1" s="144" t="s">
        <v>64</v>
      </c>
      <c r="K1" s="36">
        <f>C9</f>
        <v>44896</v>
      </c>
      <c r="L1" s="1"/>
      <c r="M1" s="6"/>
      <c r="N1" s="6"/>
      <c r="O1" s="6"/>
      <c r="P1" s="6"/>
      <c r="Q1" s="1"/>
      <c r="R1" s="1"/>
      <c r="S1" s="1"/>
      <c r="T1" s="1"/>
      <c r="U1" s="1"/>
    </row>
    <row r="2" spans="1:21" ht="15.6" x14ac:dyDescent="0.3">
      <c r="A2" s="214" t="s">
        <v>4</v>
      </c>
      <c r="B2" s="206" t="s">
        <v>216</v>
      </c>
      <c r="C2" s="207"/>
      <c r="D2" s="166"/>
      <c r="E2" s="1"/>
      <c r="F2" s="1"/>
      <c r="G2" s="1"/>
      <c r="H2" s="1"/>
      <c r="I2" s="1"/>
      <c r="J2" s="2" t="s">
        <v>11</v>
      </c>
      <c r="K2" s="5">
        <f>B9</f>
        <v>5.9775</v>
      </c>
      <c r="L2" s="1"/>
      <c r="M2" s="6"/>
      <c r="N2" s="6"/>
      <c r="O2" s="6"/>
      <c r="P2" s="6"/>
      <c r="Q2" s="1"/>
      <c r="R2" s="1"/>
      <c r="S2" s="1"/>
      <c r="T2" s="1"/>
      <c r="U2" s="1"/>
    </row>
    <row r="3" spans="1:21" ht="15.6" x14ac:dyDescent="0.3">
      <c r="A3" s="214" t="s">
        <v>5</v>
      </c>
      <c r="B3" s="206" t="s">
        <v>197</v>
      </c>
      <c r="C3" s="207"/>
      <c r="D3" s="166"/>
      <c r="E3" s="1"/>
      <c r="F3" s="1"/>
      <c r="G3" s="1"/>
      <c r="H3" s="1"/>
      <c r="I3" s="1"/>
      <c r="J3" s="2" t="s">
        <v>65</v>
      </c>
      <c r="K3" s="3">
        <f>B10</f>
        <v>-0.25</v>
      </c>
      <c r="L3" s="74" t="s">
        <v>13</v>
      </c>
      <c r="M3" s="74"/>
      <c r="N3" s="74"/>
      <c r="O3" s="74"/>
      <c r="P3" s="74"/>
      <c r="Q3" s="74"/>
      <c r="R3" s="1"/>
      <c r="S3" s="1"/>
      <c r="T3" s="1"/>
      <c r="U3" s="1"/>
    </row>
    <row r="4" spans="1:21" ht="16.2" thickBot="1" x14ac:dyDescent="0.35">
      <c r="A4" s="214" t="s">
        <v>7</v>
      </c>
      <c r="B4" s="208">
        <v>44618</v>
      </c>
      <c r="C4" s="209"/>
      <c r="D4" s="166"/>
      <c r="E4" s="1" t="s">
        <v>153</v>
      </c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6" x14ac:dyDescent="0.3">
      <c r="A5" s="214" t="s">
        <v>8</v>
      </c>
      <c r="B5" s="210">
        <v>44896</v>
      </c>
      <c r="C5" s="210"/>
      <c r="D5" s="166"/>
      <c r="E5" s="60">
        <f>B5-B4</f>
        <v>278</v>
      </c>
      <c r="F5" s="1"/>
      <c r="G5" s="1"/>
      <c r="H5" s="177"/>
      <c r="I5" s="178"/>
      <c r="J5" s="179">
        <f>K1</f>
        <v>44896</v>
      </c>
      <c r="K5" s="180" t="s">
        <v>66</v>
      </c>
      <c r="L5" s="178"/>
      <c r="M5" s="178"/>
      <c r="N5" s="178"/>
      <c r="O5" s="178"/>
      <c r="P5" s="181" t="s">
        <v>152</v>
      </c>
      <c r="Q5" s="1"/>
      <c r="R5" s="1"/>
      <c r="S5" s="1"/>
      <c r="T5" s="1"/>
      <c r="U5" s="1"/>
    </row>
    <row r="6" spans="1:21" ht="15.6" x14ac:dyDescent="0.3">
      <c r="A6" s="214" t="s">
        <v>9</v>
      </c>
      <c r="B6" s="3">
        <v>2.13</v>
      </c>
      <c r="C6" s="28"/>
      <c r="D6" s="166"/>
      <c r="E6" s="1"/>
      <c r="F6" s="1"/>
      <c r="G6" s="1"/>
      <c r="H6" s="182"/>
      <c r="I6" s="183"/>
      <c r="J6" s="4"/>
      <c r="K6" s="184"/>
      <c r="L6" s="185" t="s">
        <v>205</v>
      </c>
      <c r="M6" s="183"/>
      <c r="N6" s="183"/>
      <c r="O6" s="183"/>
      <c r="P6" s="186" t="s">
        <v>139</v>
      </c>
      <c r="Q6" s="1"/>
      <c r="R6" s="1"/>
      <c r="S6" s="1"/>
      <c r="T6" s="1"/>
      <c r="U6" s="1"/>
    </row>
    <row r="7" spans="1:21" ht="16.2" thickBot="1" x14ac:dyDescent="0.35">
      <c r="A7" s="214" t="s">
        <v>204</v>
      </c>
      <c r="B7" s="3">
        <v>4.8499999999999996</v>
      </c>
      <c r="C7" s="28"/>
      <c r="D7" s="166"/>
      <c r="E7" s="1"/>
      <c r="F7" s="1"/>
      <c r="G7" s="1"/>
      <c r="H7" s="182"/>
      <c r="I7" s="183"/>
      <c r="J7" s="183"/>
      <c r="K7" s="183"/>
      <c r="L7" s="187" t="s">
        <v>206</v>
      </c>
      <c r="M7" s="188" t="s">
        <v>138</v>
      </c>
      <c r="N7" s="188"/>
      <c r="O7" s="189" t="s">
        <v>142</v>
      </c>
      <c r="P7" s="190" t="s">
        <v>1</v>
      </c>
      <c r="Q7" s="1"/>
      <c r="R7" s="1"/>
      <c r="S7" s="1"/>
      <c r="T7" s="1"/>
      <c r="U7" s="1"/>
    </row>
    <row r="8" spans="1:21" ht="15.6" x14ac:dyDescent="0.3">
      <c r="A8" s="215" t="s">
        <v>10</v>
      </c>
      <c r="B8" s="73">
        <v>5.7275</v>
      </c>
      <c r="C8" s="216">
        <f>C9</f>
        <v>44896</v>
      </c>
      <c r="D8" s="166"/>
      <c r="E8" s="1"/>
      <c r="F8" s="1"/>
      <c r="G8" s="1"/>
      <c r="H8" s="182"/>
      <c r="I8" s="183"/>
      <c r="J8" s="4"/>
      <c r="K8" s="4" t="s">
        <v>68</v>
      </c>
      <c r="L8" s="199">
        <f>D46</f>
        <v>5.7275</v>
      </c>
      <c r="M8" s="200">
        <f>B21</f>
        <v>5.7275</v>
      </c>
      <c r="N8" s="201"/>
      <c r="O8" s="200">
        <f>L8-M8</f>
        <v>0</v>
      </c>
      <c r="P8" s="202" t="s">
        <v>145</v>
      </c>
      <c r="Q8" s="1"/>
      <c r="R8" s="1"/>
      <c r="S8" s="1"/>
      <c r="T8" s="1"/>
      <c r="U8" s="1"/>
    </row>
    <row r="9" spans="1:21" ht="15.6" x14ac:dyDescent="0.3">
      <c r="A9" s="215" t="s">
        <v>11</v>
      </c>
      <c r="B9" s="73">
        <v>5.9775</v>
      </c>
      <c r="C9" s="216">
        <f>B5</f>
        <v>44896</v>
      </c>
      <c r="D9" s="166"/>
      <c r="E9" s="1"/>
      <c r="F9" s="1"/>
      <c r="G9" s="1"/>
      <c r="H9" s="182"/>
      <c r="I9" s="183"/>
      <c r="J9" s="4"/>
      <c r="K9" s="4"/>
      <c r="L9" s="203"/>
      <c r="M9" s="173"/>
      <c r="N9" s="174"/>
      <c r="O9" s="173"/>
      <c r="P9" s="191"/>
      <c r="Q9" s="1"/>
      <c r="R9" s="1"/>
      <c r="S9" s="1"/>
      <c r="T9" s="1"/>
      <c r="U9" s="1"/>
    </row>
    <row r="10" spans="1:21" ht="15.6" x14ac:dyDescent="0.3">
      <c r="A10" s="215" t="s">
        <v>12</v>
      </c>
      <c r="B10" s="3">
        <f>B8-B9</f>
        <v>-0.25</v>
      </c>
      <c r="C10" s="92" t="s">
        <v>13</v>
      </c>
      <c r="D10" s="261"/>
      <c r="E10" s="74"/>
      <c r="F10" s="74"/>
      <c r="G10" s="74"/>
      <c r="H10" s="182"/>
      <c r="I10" s="183"/>
      <c r="J10" s="4" t="s">
        <v>37</v>
      </c>
      <c r="K10" s="175">
        <f>D38</f>
        <v>-0.25</v>
      </c>
      <c r="L10" s="203">
        <f>D48</f>
        <v>5.7275</v>
      </c>
      <c r="M10" s="173" t="s">
        <v>69</v>
      </c>
      <c r="N10" s="174"/>
      <c r="O10" s="173" t="s">
        <v>69</v>
      </c>
      <c r="P10" s="191">
        <f>L10-L8</f>
        <v>0</v>
      </c>
      <c r="Q10" s="1"/>
      <c r="R10" s="1"/>
      <c r="S10" s="1"/>
      <c r="T10" s="1"/>
      <c r="U10" s="1"/>
    </row>
    <row r="11" spans="1:21" ht="15.6" x14ac:dyDescent="0.3">
      <c r="A11" s="215" t="s">
        <v>198</v>
      </c>
      <c r="B11" s="5">
        <v>0.02</v>
      </c>
      <c r="C11" s="28"/>
      <c r="D11" s="166"/>
      <c r="E11" s="1"/>
      <c r="F11" s="1"/>
      <c r="G11" s="1"/>
      <c r="H11" s="182"/>
      <c r="I11" s="183"/>
      <c r="J11" s="4"/>
      <c r="K11" s="4"/>
      <c r="L11" s="203"/>
      <c r="M11" s="173"/>
      <c r="N11" s="174"/>
      <c r="O11" s="173"/>
      <c r="P11" s="191"/>
      <c r="Q11" s="1"/>
      <c r="R11" s="1"/>
      <c r="S11" s="1"/>
      <c r="T11" s="1"/>
      <c r="U11" s="1"/>
    </row>
    <row r="12" spans="1:21" ht="15.6" x14ac:dyDescent="0.3">
      <c r="A12" s="215" t="s">
        <v>157</v>
      </c>
      <c r="B12" s="58">
        <v>0</v>
      </c>
      <c r="C12" s="92" t="s">
        <v>208</v>
      </c>
      <c r="D12" s="166"/>
      <c r="E12" s="1"/>
      <c r="F12" s="1"/>
      <c r="G12" s="1"/>
      <c r="H12" s="182"/>
      <c r="I12" s="183"/>
      <c r="J12" s="4"/>
      <c r="K12" s="4" t="s">
        <v>33</v>
      </c>
      <c r="L12" s="203">
        <f>G55</f>
        <v>5.7275</v>
      </c>
      <c r="M12" s="173" t="s">
        <v>69</v>
      </c>
      <c r="N12" s="174"/>
      <c r="O12" s="173" t="s">
        <v>69</v>
      </c>
      <c r="P12" s="191">
        <f>L12-L$8</f>
        <v>0</v>
      </c>
      <c r="Q12" s="1"/>
      <c r="R12" s="1"/>
      <c r="S12" s="1"/>
      <c r="T12" s="1"/>
      <c r="U12" s="1"/>
    </row>
    <row r="13" spans="1:21" ht="15.6" x14ac:dyDescent="0.3">
      <c r="A13" s="215" t="s">
        <v>154</v>
      </c>
      <c r="B13" s="57">
        <v>3.5000000000000003E-2</v>
      </c>
      <c r="C13" s="28"/>
      <c r="D13" s="166"/>
      <c r="E13" s="1" t="s">
        <v>184</v>
      </c>
      <c r="G13" s="1"/>
      <c r="H13" s="182"/>
      <c r="I13" s="183"/>
      <c r="J13" s="4"/>
      <c r="K13" s="4"/>
      <c r="L13" s="203"/>
      <c r="M13" s="173"/>
      <c r="N13" s="174"/>
      <c r="O13" s="173"/>
      <c r="P13" s="191"/>
      <c r="Q13" s="1"/>
      <c r="R13" s="1"/>
      <c r="S13" s="1"/>
      <c r="T13" s="1"/>
      <c r="U13" s="1"/>
    </row>
    <row r="14" spans="1:21" ht="15.6" x14ac:dyDescent="0.3">
      <c r="A14" s="215" t="s">
        <v>158</v>
      </c>
      <c r="B14" s="59">
        <f>ROUND(B9,1)</f>
        <v>6</v>
      </c>
      <c r="C14" s="216">
        <f>C9</f>
        <v>44896</v>
      </c>
      <c r="D14" s="166"/>
      <c r="E14" s="38" t="s">
        <v>183</v>
      </c>
      <c r="G14" s="1"/>
      <c r="H14" s="182"/>
      <c r="I14" s="183"/>
      <c r="J14" s="4"/>
      <c r="K14" s="4" t="s">
        <v>70</v>
      </c>
      <c r="L14" s="203">
        <f>J55</f>
        <v>5.7075000000000005</v>
      </c>
      <c r="M14" s="173">
        <f>J42</f>
        <v>5.7075000000000005</v>
      </c>
      <c r="N14" s="174"/>
      <c r="O14" s="173">
        <f>L14-M14</f>
        <v>0</v>
      </c>
      <c r="P14" s="191">
        <f>L14-L$8</f>
        <v>-1.9999999999999574E-2</v>
      </c>
      <c r="Q14" s="1"/>
      <c r="R14" s="1"/>
      <c r="S14" s="1"/>
      <c r="T14" s="1"/>
      <c r="U14" s="1"/>
    </row>
    <row r="15" spans="1:21" ht="15.6" x14ac:dyDescent="0.3">
      <c r="A15" s="215" t="s">
        <v>15</v>
      </c>
      <c r="B15" s="5">
        <v>0.68874999999999997</v>
      </c>
      <c r="C15" s="52">
        <f>B14</f>
        <v>6</v>
      </c>
      <c r="D15" s="166" t="s">
        <v>16</v>
      </c>
      <c r="F15" s="53">
        <f>B15-B17</f>
        <v>0.26624999999999999</v>
      </c>
      <c r="G15" s="1"/>
      <c r="H15" s="182"/>
      <c r="I15" s="183"/>
      <c r="J15" s="4"/>
      <c r="K15" s="4"/>
      <c r="L15" s="203"/>
      <c r="M15" s="173"/>
      <c r="N15" s="174"/>
      <c r="O15" s="173"/>
      <c r="P15" s="191"/>
      <c r="Q15" s="1"/>
      <c r="R15" s="1"/>
      <c r="S15" s="1"/>
      <c r="T15" s="1"/>
      <c r="U15" s="1"/>
    </row>
    <row r="16" spans="1:21" ht="15.6" x14ac:dyDescent="0.3">
      <c r="A16" s="215" t="s">
        <v>15</v>
      </c>
      <c r="B16" s="73">
        <v>0.5625</v>
      </c>
      <c r="C16" s="52">
        <f>B14-0.2</f>
        <v>5.8</v>
      </c>
      <c r="D16" s="166" t="s">
        <v>16</v>
      </c>
      <c r="F16" s="53">
        <f>B16-B17</f>
        <v>0.14000000000000001</v>
      </c>
      <c r="G16" s="1"/>
      <c r="H16" s="182"/>
      <c r="I16" s="183"/>
      <c r="J16" s="4" t="s">
        <v>71</v>
      </c>
      <c r="K16" s="59">
        <f>M35</f>
        <v>5.8</v>
      </c>
      <c r="L16" s="204">
        <f>M55</f>
        <v>5.130005136986302</v>
      </c>
      <c r="M16" s="173">
        <f>M45</f>
        <v>4.9525051369863018</v>
      </c>
      <c r="N16" s="176" t="s">
        <v>72</v>
      </c>
      <c r="O16" s="173">
        <f>L16-M16</f>
        <v>0.17750000000000021</v>
      </c>
      <c r="P16" s="191">
        <f>L16-L$8</f>
        <v>-0.59749486301369803</v>
      </c>
      <c r="Q16" s="1"/>
      <c r="R16" s="1"/>
      <c r="S16" s="1"/>
      <c r="T16" s="1"/>
      <c r="U16" s="1"/>
    </row>
    <row r="17" spans="1:21" ht="15.6" x14ac:dyDescent="0.3">
      <c r="A17" s="215" t="s">
        <v>17</v>
      </c>
      <c r="B17" s="73">
        <v>0.42249999999999999</v>
      </c>
      <c r="C17" s="52">
        <f>B14+0.2</f>
        <v>6.2</v>
      </c>
      <c r="D17" s="166" t="s">
        <v>16</v>
      </c>
      <c r="E17" s="1"/>
      <c r="F17" s="1"/>
      <c r="G17" s="1"/>
      <c r="H17" s="182"/>
      <c r="I17" s="183"/>
      <c r="J17" s="4" t="s">
        <v>71</v>
      </c>
      <c r="K17" s="59">
        <f>N35</f>
        <v>6</v>
      </c>
      <c r="L17" s="203">
        <f>N55</f>
        <v>5.0228896232876723</v>
      </c>
      <c r="M17" s="173">
        <f>N45</f>
        <v>5.0228896232876723</v>
      </c>
      <c r="N17" s="176" t="s">
        <v>72</v>
      </c>
      <c r="O17" s="173">
        <f>L17-M17</f>
        <v>0</v>
      </c>
      <c r="P17" s="191">
        <f>L17-L$8</f>
        <v>-0.70461037671232774</v>
      </c>
      <c r="Q17" s="1"/>
      <c r="R17" s="1"/>
      <c r="S17" s="1"/>
      <c r="T17" s="1"/>
      <c r="U17" s="1"/>
    </row>
    <row r="18" spans="1:21" ht="15.6" x14ac:dyDescent="0.3">
      <c r="A18" s="215"/>
      <c r="B18" s="28" t="s">
        <v>2</v>
      </c>
      <c r="C18" s="28"/>
      <c r="D18" s="166"/>
      <c r="E18" s="1"/>
      <c r="F18" s="1"/>
      <c r="G18" s="1"/>
      <c r="H18" s="182"/>
      <c r="I18" s="183"/>
      <c r="J18" s="4"/>
      <c r="K18" s="59"/>
      <c r="L18" s="203"/>
      <c r="M18" s="173"/>
      <c r="N18" s="176"/>
      <c r="O18" s="173"/>
      <c r="P18" s="191"/>
      <c r="Q18" s="1"/>
      <c r="R18" s="1"/>
      <c r="S18" s="1"/>
      <c r="T18" s="1"/>
      <c r="U18" s="1"/>
    </row>
    <row r="19" spans="1:21" ht="15.6" x14ac:dyDescent="0.3">
      <c r="A19" s="164"/>
      <c r="B19" s="218" t="s">
        <v>18</v>
      </c>
      <c r="C19" s="21"/>
      <c r="D19" s="166"/>
      <c r="E19" s="1"/>
      <c r="F19" s="1"/>
      <c r="G19" s="1"/>
      <c r="H19" s="182"/>
      <c r="I19" s="183"/>
      <c r="J19" s="4" t="s">
        <v>73</v>
      </c>
      <c r="K19" s="59"/>
      <c r="L19" s="203"/>
      <c r="M19" s="173"/>
      <c r="N19" s="176"/>
      <c r="O19" s="173"/>
      <c r="P19" s="191"/>
      <c r="Q19" s="1"/>
      <c r="R19" s="1"/>
      <c r="S19" s="1"/>
      <c r="T19" s="1"/>
      <c r="U19" s="1"/>
    </row>
    <row r="20" spans="1:21" ht="15.6" x14ac:dyDescent="0.3">
      <c r="A20" s="219" t="s">
        <v>19</v>
      </c>
      <c r="B20" s="8">
        <f>B21*1.1</f>
        <v>6.3002500000000001</v>
      </c>
      <c r="C20" s="28"/>
      <c r="D20" s="166"/>
      <c r="E20" s="1"/>
      <c r="F20" s="1"/>
      <c r="G20" s="1"/>
      <c r="H20" s="182"/>
      <c r="I20" s="183"/>
      <c r="J20" s="4" t="s">
        <v>74</v>
      </c>
      <c r="K20" s="59">
        <f>Q35</f>
        <v>6.2</v>
      </c>
      <c r="L20" s="203">
        <f>Q55</f>
        <v>5.273737191780822</v>
      </c>
      <c r="M20" s="173">
        <f>Q45</f>
        <v>5.2850000000000001</v>
      </c>
      <c r="N20" s="176" t="s">
        <v>72</v>
      </c>
      <c r="O20" s="173">
        <f>L20-M20</f>
        <v>-1.1262808219178133E-2</v>
      </c>
      <c r="P20" s="191">
        <f>L20-L$8</f>
        <v>-0.45376280821917803</v>
      </c>
      <c r="Q20" s="1"/>
      <c r="R20" s="1"/>
      <c r="S20" s="1"/>
      <c r="T20" s="1"/>
      <c r="U20" s="1"/>
    </row>
    <row r="21" spans="1:21" ht="15.6" x14ac:dyDescent="0.3">
      <c r="A21" s="219" t="s">
        <v>20</v>
      </c>
      <c r="B21" s="8">
        <f>B8</f>
        <v>5.7275</v>
      </c>
      <c r="C21" s="28"/>
      <c r="D21" s="166"/>
      <c r="E21" s="1"/>
      <c r="F21" s="1"/>
      <c r="G21" s="1"/>
      <c r="H21" s="182"/>
      <c r="I21" s="183"/>
      <c r="J21" s="4"/>
      <c r="K21" s="59"/>
      <c r="L21" s="203"/>
      <c r="M21" s="173"/>
      <c r="N21" s="176"/>
      <c r="O21" s="173"/>
      <c r="P21" s="191"/>
      <c r="Q21" s="1"/>
      <c r="R21" s="1"/>
      <c r="S21" s="1"/>
      <c r="T21" s="1"/>
      <c r="U21" s="1"/>
    </row>
    <row r="22" spans="1:21" ht="16.2" thickBot="1" x14ac:dyDescent="0.35">
      <c r="A22" s="220" t="s">
        <v>21</v>
      </c>
      <c r="B22" s="221">
        <f>B21*0.9</f>
        <v>5.1547499999999999</v>
      </c>
      <c r="C22" s="171"/>
      <c r="D22" s="222"/>
      <c r="E22" s="1"/>
      <c r="F22" s="1"/>
      <c r="G22" s="1"/>
      <c r="H22" s="182"/>
      <c r="I22" s="183"/>
      <c r="J22" s="4" t="s">
        <v>207</v>
      </c>
      <c r="K22" s="59">
        <f>T35</f>
        <v>6</v>
      </c>
      <c r="L22" s="203"/>
      <c r="M22" s="173"/>
      <c r="N22" s="176"/>
      <c r="O22" s="173"/>
      <c r="P22" s="191"/>
      <c r="Q22" s="1"/>
      <c r="R22" s="1"/>
      <c r="S22" s="1"/>
      <c r="T22" s="1"/>
      <c r="U22" s="1"/>
    </row>
    <row r="23" spans="1:21" ht="15.6" x14ac:dyDescent="0.3">
      <c r="A23" s="7"/>
      <c r="B23" s="1"/>
      <c r="C23" s="1"/>
      <c r="D23" s="1"/>
      <c r="E23" s="1"/>
      <c r="F23" s="1"/>
      <c r="G23" s="1"/>
      <c r="H23" s="182"/>
      <c r="I23" s="183"/>
      <c r="J23" s="4" t="s">
        <v>75</v>
      </c>
      <c r="K23" s="59">
        <f>T36</f>
        <v>6.2</v>
      </c>
      <c r="L23" s="203">
        <f>T55</f>
        <v>5.4366524315068485</v>
      </c>
      <c r="M23" s="173">
        <f>T44</f>
        <v>5.4366524315068503</v>
      </c>
      <c r="N23" s="176" t="s">
        <v>72</v>
      </c>
      <c r="O23" s="173">
        <f>L23-M23</f>
        <v>0</v>
      </c>
      <c r="P23" s="191">
        <f>L23-L$8</f>
        <v>-0.29084756849315152</v>
      </c>
      <c r="Q23" s="1"/>
      <c r="R23" s="1"/>
      <c r="S23" s="1"/>
      <c r="T23" s="1"/>
      <c r="U23" s="1"/>
    </row>
    <row r="24" spans="1:21" ht="16.2" thickBot="1" x14ac:dyDescent="0.35">
      <c r="E24" s="6"/>
      <c r="F24" s="1"/>
      <c r="G24" s="6"/>
      <c r="H24" s="192"/>
      <c r="I24" s="193"/>
      <c r="J24" s="194"/>
      <c r="K24" s="195"/>
      <c r="L24" s="205"/>
      <c r="M24" s="196">
        <f>T45</f>
        <v>5.6366524315068496</v>
      </c>
      <c r="N24" s="197" t="s">
        <v>76</v>
      </c>
      <c r="O24" s="196">
        <f>L23-M24</f>
        <v>-0.20000000000000107</v>
      </c>
      <c r="P24" s="198">
        <f>L23-L$8</f>
        <v>-0.29084756849315152</v>
      </c>
      <c r="Q24" s="6"/>
      <c r="S24" s="6"/>
      <c r="T24" s="6"/>
      <c r="U24" s="1"/>
    </row>
    <row r="25" spans="1:21" ht="15.6" x14ac:dyDescent="0.3">
      <c r="A25" s="9"/>
      <c r="B25" s="6"/>
      <c r="C25" s="6"/>
      <c r="D25" s="1"/>
      <c r="E25" s="6"/>
      <c r="F25" s="1"/>
      <c r="G25" s="6"/>
      <c r="H25" s="6"/>
      <c r="I25" s="6"/>
      <c r="J25" s="39"/>
      <c r="K25" s="40"/>
      <c r="L25" s="75"/>
      <c r="M25" s="51"/>
      <c r="N25" s="42"/>
      <c r="O25" s="51"/>
      <c r="P25" s="51"/>
      <c r="Q25" s="6"/>
      <c r="R25" s="6"/>
      <c r="S25" s="6"/>
      <c r="T25" s="6"/>
      <c r="U25" s="1"/>
    </row>
    <row r="26" spans="1:21" ht="15.6" x14ac:dyDescent="0.3">
      <c r="A26" s="9"/>
      <c r="B26" s="6"/>
      <c r="C26" s="6"/>
      <c r="D26" s="1"/>
      <c r="E26" s="6"/>
      <c r="F26" s="1"/>
      <c r="G26" s="6"/>
      <c r="H26" s="6"/>
      <c r="I26" s="6"/>
      <c r="J26" s="39"/>
      <c r="K26" s="40"/>
      <c r="L26" s="75"/>
      <c r="M26" s="51"/>
      <c r="N26" s="42"/>
      <c r="O26" s="51"/>
      <c r="P26" s="51"/>
      <c r="Q26" s="6"/>
      <c r="R26" s="6"/>
      <c r="S26" s="6"/>
      <c r="T26" s="6"/>
      <c r="U26" s="1"/>
    </row>
    <row r="27" spans="1:21" ht="15.6" x14ac:dyDescent="0.3">
      <c r="A27" s="9"/>
      <c r="B27" s="6"/>
      <c r="C27" s="6"/>
      <c r="D27" s="1"/>
      <c r="E27" s="6"/>
      <c r="F27" s="1"/>
      <c r="G27" s="6"/>
      <c r="H27" s="6"/>
      <c r="I27" s="6"/>
      <c r="J27" s="39"/>
      <c r="K27" s="40"/>
      <c r="L27" s="75"/>
      <c r="M27" s="51"/>
      <c r="N27" s="42"/>
      <c r="O27" s="51"/>
      <c r="P27" s="51"/>
      <c r="Q27" s="6"/>
      <c r="R27" s="6"/>
      <c r="S27" s="6"/>
      <c r="T27" s="6"/>
      <c r="U27" s="1"/>
    </row>
    <row r="28" spans="1:21" ht="15.6" x14ac:dyDescent="0.3">
      <c r="A28" s="9"/>
      <c r="B28" s="6"/>
      <c r="C28" s="6"/>
      <c r="D28" s="1"/>
      <c r="E28" s="6"/>
      <c r="F28" s="1"/>
      <c r="G28" s="6"/>
      <c r="H28" s="6"/>
      <c r="I28" s="6"/>
      <c r="J28" s="39"/>
      <c r="K28" s="40"/>
      <c r="L28" s="75"/>
      <c r="M28" s="51"/>
      <c r="N28" s="42"/>
      <c r="O28" s="51"/>
      <c r="P28" s="51"/>
      <c r="Q28" s="6"/>
      <c r="R28" s="6"/>
      <c r="S28" s="6"/>
      <c r="T28" s="6"/>
      <c r="U28" s="1"/>
    </row>
    <row r="29" spans="1:21" ht="15.6" x14ac:dyDescent="0.3">
      <c r="A29" s="9"/>
      <c r="B29" s="6"/>
      <c r="C29" s="6"/>
      <c r="D29" s="1"/>
      <c r="E29" s="6"/>
      <c r="F29" s="1"/>
      <c r="G29" s="6"/>
      <c r="H29" s="6"/>
      <c r="I29" s="6"/>
      <c r="J29" s="39"/>
      <c r="K29" s="40"/>
      <c r="L29" s="75"/>
      <c r="M29" s="51"/>
      <c r="N29" s="42"/>
      <c r="O29" s="51"/>
      <c r="P29" s="51"/>
      <c r="Q29" s="6"/>
      <c r="R29" s="6"/>
      <c r="S29" s="6"/>
      <c r="T29" s="6"/>
      <c r="U29" s="1"/>
    </row>
    <row r="30" spans="1:21" ht="15.6" x14ac:dyDescent="0.3">
      <c r="A30" s="9"/>
      <c r="B30" s="6"/>
      <c r="C30" s="6"/>
      <c r="D30" s="1"/>
      <c r="E30" s="6"/>
      <c r="F30" s="1"/>
      <c r="G30" s="6"/>
      <c r="H30" s="6"/>
      <c r="I30" s="6"/>
      <c r="J30" s="39"/>
      <c r="K30" s="40"/>
      <c r="L30" s="75"/>
      <c r="M30" s="51"/>
      <c r="N30" s="42"/>
      <c r="O30" s="51"/>
      <c r="P30" s="51"/>
      <c r="Q30" s="6"/>
      <c r="R30" s="6"/>
      <c r="S30" s="6"/>
      <c r="T30" s="6"/>
      <c r="U30" s="1"/>
    </row>
    <row r="31" spans="1:21" ht="15.6" x14ac:dyDescent="0.3">
      <c r="A31" s="9"/>
      <c r="B31" s="6"/>
      <c r="C31" s="6"/>
      <c r="D31" s="1"/>
      <c r="E31" s="6"/>
      <c r="F31" s="1"/>
      <c r="G31" s="6"/>
      <c r="H31" s="6"/>
      <c r="I31" s="6"/>
      <c r="J31" s="39"/>
      <c r="K31" s="40"/>
      <c r="L31" s="75"/>
      <c r="M31" s="51"/>
      <c r="N31" s="42"/>
      <c r="O31" s="51"/>
      <c r="P31" s="51"/>
      <c r="Q31" s="6"/>
      <c r="R31" s="6"/>
      <c r="S31" s="6"/>
      <c r="T31" s="6"/>
      <c r="U31" s="1"/>
    </row>
    <row r="32" spans="1:21" ht="15.6" x14ac:dyDescent="0.3">
      <c r="A32" s="9" t="s">
        <v>22</v>
      </c>
      <c r="B32" s="6"/>
      <c r="C32" s="6"/>
      <c r="D32" s="1" t="str">
        <f>B2</f>
        <v>Corn 22</v>
      </c>
      <c r="E32" s="6"/>
      <c r="F32" s="1"/>
      <c r="G32" s="6"/>
      <c r="H32" s="6"/>
      <c r="I32" s="6"/>
      <c r="J32" s="39"/>
      <c r="K32" s="40"/>
      <c r="L32" s="75"/>
      <c r="M32" s="51"/>
      <c r="N32" s="42"/>
      <c r="O32" s="51"/>
      <c r="P32" s="51"/>
      <c r="Q32" s="6"/>
      <c r="R32" s="6"/>
      <c r="S32" s="6"/>
      <c r="T32" s="6"/>
      <c r="U32" s="1"/>
    </row>
    <row r="33" spans="1:21" ht="15.6" x14ac:dyDescent="0.3">
      <c r="A33" s="10" t="s">
        <v>23</v>
      </c>
      <c r="B33" s="11" t="s">
        <v>24</v>
      </c>
      <c r="C33" s="12"/>
      <c r="D33" s="13"/>
      <c r="E33" s="11" t="s">
        <v>25</v>
      </c>
      <c r="F33" s="12"/>
      <c r="G33" s="13"/>
      <c r="H33" s="11" t="s">
        <v>26</v>
      </c>
      <c r="I33" s="12"/>
      <c r="J33" s="13"/>
      <c r="K33" s="11" t="s">
        <v>27</v>
      </c>
      <c r="L33" s="12"/>
      <c r="M33" s="12"/>
      <c r="N33" s="12"/>
      <c r="O33" s="11" t="s">
        <v>28</v>
      </c>
      <c r="P33" s="12"/>
      <c r="Q33" s="13"/>
      <c r="R33" s="11" t="s">
        <v>182</v>
      </c>
      <c r="S33" s="12"/>
      <c r="T33" s="13"/>
      <c r="U33" s="1"/>
    </row>
    <row r="34" spans="1:21" ht="15.6" x14ac:dyDescent="0.3">
      <c r="A34" s="14">
        <f>B4</f>
        <v>44618</v>
      </c>
      <c r="B34" s="15"/>
      <c r="C34" s="16"/>
      <c r="D34" s="1"/>
      <c r="E34" s="1" t="str">
        <f>B3</f>
        <v>Albion Nov 22 Delivery</v>
      </c>
      <c r="F34" s="1"/>
      <c r="G34" s="1"/>
      <c r="H34" s="15"/>
      <c r="I34" s="16"/>
      <c r="J34" s="17"/>
      <c r="K34" s="15"/>
      <c r="L34" s="16"/>
      <c r="M34" s="16"/>
      <c r="N34" s="16"/>
      <c r="O34" s="18" t="s">
        <v>30</v>
      </c>
      <c r="P34" s="16"/>
      <c r="Q34" s="19"/>
      <c r="R34" s="18" t="s">
        <v>31</v>
      </c>
      <c r="S34" s="16"/>
      <c r="T34" s="19"/>
      <c r="U34" s="1"/>
    </row>
    <row r="35" spans="1:21" ht="15.6" x14ac:dyDescent="0.3">
      <c r="A35" s="1"/>
      <c r="B35" s="20" t="s">
        <v>32</v>
      </c>
      <c r="C35" s="21"/>
      <c r="D35" s="17">
        <f>B7</f>
        <v>4.8499999999999996</v>
      </c>
      <c r="E35" s="1" t="s">
        <v>33</v>
      </c>
      <c r="F35" s="1"/>
      <c r="G35" s="17">
        <f>B8</f>
        <v>5.7275</v>
      </c>
      <c r="H35" s="22">
        <f>K1</f>
        <v>44896</v>
      </c>
      <c r="I35" s="23" t="s">
        <v>3</v>
      </c>
      <c r="J35" s="17">
        <f>B9</f>
        <v>5.9775</v>
      </c>
      <c r="K35" s="20" t="s">
        <v>34</v>
      </c>
      <c r="L35" s="21"/>
      <c r="M35" s="17">
        <f>C16</f>
        <v>5.8</v>
      </c>
      <c r="N35" s="17">
        <f>C15</f>
        <v>6</v>
      </c>
      <c r="O35" s="20" t="s">
        <v>34</v>
      </c>
      <c r="P35" s="21"/>
      <c r="Q35" s="17">
        <f>C17</f>
        <v>6.2</v>
      </c>
      <c r="R35" s="20" t="s">
        <v>35</v>
      </c>
      <c r="S35" s="21"/>
      <c r="T35" s="24">
        <f>N35</f>
        <v>6</v>
      </c>
      <c r="U35" s="1"/>
    </row>
    <row r="36" spans="1:21" ht="15.6" x14ac:dyDescent="0.3">
      <c r="A36" s="6"/>
      <c r="B36" s="25"/>
      <c r="C36" s="21"/>
      <c r="D36" s="1"/>
      <c r="E36" s="1"/>
      <c r="F36" s="1"/>
      <c r="G36" s="1"/>
      <c r="H36" s="25"/>
      <c r="I36" s="21"/>
      <c r="J36" s="17"/>
      <c r="K36" s="25"/>
      <c r="L36" s="21"/>
      <c r="M36" s="17"/>
      <c r="N36" s="17"/>
      <c r="O36" s="25"/>
      <c r="P36" s="21"/>
      <c r="Q36" s="17"/>
      <c r="R36" s="20" t="s">
        <v>36</v>
      </c>
      <c r="S36" s="21"/>
      <c r="T36" s="24">
        <f>Q35</f>
        <v>6.2</v>
      </c>
      <c r="U36" s="1"/>
    </row>
    <row r="37" spans="1:21" ht="15.6" x14ac:dyDescent="0.3">
      <c r="A37" s="6"/>
      <c r="B37" s="20" t="s">
        <v>37</v>
      </c>
      <c r="C37" s="21"/>
      <c r="D37" s="17"/>
      <c r="E37" s="25"/>
      <c r="F37" s="21"/>
      <c r="G37" s="24"/>
      <c r="H37" s="1"/>
      <c r="I37" s="26" t="s">
        <v>38</v>
      </c>
      <c r="J37" s="17">
        <f>B10</f>
        <v>-0.25</v>
      </c>
      <c r="K37" s="20" t="s">
        <v>39</v>
      </c>
      <c r="L37" s="21"/>
      <c r="M37" s="17">
        <f>B16</f>
        <v>0.5625</v>
      </c>
      <c r="N37" s="17">
        <f>B15</f>
        <v>0.68874999999999997</v>
      </c>
      <c r="O37" s="20" t="s">
        <v>25</v>
      </c>
      <c r="P37" s="21"/>
      <c r="Q37" s="17">
        <f>G35</f>
        <v>5.7275</v>
      </c>
      <c r="R37" s="25"/>
      <c r="S37" s="21"/>
      <c r="T37" s="17"/>
      <c r="U37" s="1"/>
    </row>
    <row r="38" spans="1:21" ht="15.6" x14ac:dyDescent="0.3">
      <c r="A38" s="6"/>
      <c r="B38" s="22">
        <f>H35</f>
        <v>44896</v>
      </c>
      <c r="C38" s="21"/>
      <c r="D38" s="17">
        <f>G35-J35</f>
        <v>-0.25</v>
      </c>
      <c r="E38" s="25"/>
      <c r="F38" s="21"/>
      <c r="G38" s="17"/>
      <c r="H38" s="25"/>
      <c r="I38" s="21"/>
      <c r="J38" s="17"/>
      <c r="K38" s="25"/>
      <c r="L38" s="21"/>
      <c r="M38" s="21"/>
      <c r="N38" s="21"/>
      <c r="O38" s="25"/>
      <c r="P38" s="21"/>
      <c r="Q38" s="17"/>
      <c r="R38" s="20" t="s">
        <v>40</v>
      </c>
      <c r="S38" s="21"/>
      <c r="T38" s="24">
        <f>N37</f>
        <v>0.68874999999999997</v>
      </c>
      <c r="U38" s="1"/>
    </row>
    <row r="39" spans="1:21" ht="15.6" x14ac:dyDescent="0.3">
      <c r="A39" s="6"/>
      <c r="B39" s="20" t="s">
        <v>41</v>
      </c>
      <c r="C39" s="21"/>
      <c r="D39" s="17">
        <f>B6</f>
        <v>2.13</v>
      </c>
      <c r="E39" s="25"/>
      <c r="F39" s="21"/>
      <c r="G39" s="17"/>
      <c r="H39" s="1"/>
      <c r="I39" s="26" t="s">
        <v>42</v>
      </c>
      <c r="J39" s="17">
        <f>B11</f>
        <v>0.02</v>
      </c>
      <c r="K39" s="20" t="s">
        <v>43</v>
      </c>
      <c r="L39" s="21"/>
      <c r="M39" s="21">
        <f>J37</f>
        <v>-0.25</v>
      </c>
      <c r="N39" s="21">
        <f>J37</f>
        <v>-0.25</v>
      </c>
      <c r="O39" s="20" t="s">
        <v>39</v>
      </c>
      <c r="P39" s="21"/>
      <c r="Q39" s="17">
        <f>B17</f>
        <v>0.42249999999999999</v>
      </c>
      <c r="R39" s="20" t="s">
        <v>44</v>
      </c>
      <c r="S39" s="21"/>
      <c r="T39" s="24">
        <f>Q39</f>
        <v>0.42249999999999999</v>
      </c>
      <c r="U39" s="1"/>
    </row>
    <row r="40" spans="1:21" ht="15.6" x14ac:dyDescent="0.3">
      <c r="A40" s="6"/>
      <c r="B40" s="27"/>
      <c r="C40" s="28"/>
      <c r="D40" s="17"/>
      <c r="E40" s="25"/>
      <c r="F40" s="21"/>
      <c r="G40" s="17"/>
      <c r="H40" s="25"/>
      <c r="I40" s="56" t="s">
        <v>155</v>
      </c>
      <c r="J40" s="17">
        <f>B12*B13/365*E5</f>
        <v>0</v>
      </c>
      <c r="K40" s="25"/>
      <c r="L40" s="56" t="s">
        <v>156</v>
      </c>
      <c r="M40" s="21">
        <f>M37*$B13/365*$E$5</f>
        <v>1.4994863013698633E-2</v>
      </c>
      <c r="N40" s="21">
        <f>N37*$B13/365*$E$5</f>
        <v>1.8360376712328767E-2</v>
      </c>
      <c r="O40" s="25"/>
      <c r="P40" s="56" t="s">
        <v>156</v>
      </c>
      <c r="Q40" s="21">
        <f>Q39*$B13/365*$E$5</f>
        <v>1.1262808219178083E-2</v>
      </c>
      <c r="R40" s="25"/>
      <c r="S40" s="56" t="s">
        <v>156</v>
      </c>
      <c r="T40" s="21">
        <f>(T38-T39)*$B13/365*$E$5</f>
        <v>7.0975684931506855E-3</v>
      </c>
      <c r="U40" s="1"/>
    </row>
    <row r="41" spans="1:21" ht="15.6" x14ac:dyDescent="0.3">
      <c r="A41" s="6"/>
      <c r="B41" s="25"/>
      <c r="C41" s="29"/>
      <c r="D41" s="17"/>
      <c r="E41" s="25"/>
      <c r="F41" s="21"/>
      <c r="G41" s="17"/>
      <c r="H41" s="20" t="s">
        <v>45</v>
      </c>
      <c r="I41" s="21"/>
      <c r="J41" s="17"/>
      <c r="K41" s="20" t="s">
        <v>42</v>
      </c>
      <c r="L41" s="21"/>
      <c r="M41" s="21">
        <f>J39</f>
        <v>0.02</v>
      </c>
      <c r="N41" s="21">
        <f>J39</f>
        <v>0.02</v>
      </c>
      <c r="O41" s="20" t="s">
        <v>42</v>
      </c>
      <c r="P41" s="21"/>
      <c r="Q41" s="17">
        <f>J39</f>
        <v>0.02</v>
      </c>
      <c r="R41" s="20" t="s">
        <v>43</v>
      </c>
      <c r="S41" s="21"/>
      <c r="T41" s="17">
        <f>J37</f>
        <v>-0.25</v>
      </c>
      <c r="U41" s="1"/>
    </row>
    <row r="42" spans="1:21" ht="15.6" x14ac:dyDescent="0.3">
      <c r="A42" s="6"/>
      <c r="B42" s="20" t="s">
        <v>46</v>
      </c>
      <c r="C42" s="21"/>
      <c r="D42" s="17"/>
      <c r="E42" s="25"/>
      <c r="F42" s="21"/>
      <c r="G42" s="17"/>
      <c r="H42" s="20" t="s">
        <v>47</v>
      </c>
      <c r="I42" s="21"/>
      <c r="J42" s="17">
        <f>J35+J37-J39-J40</f>
        <v>5.7075000000000005</v>
      </c>
      <c r="O42" s="25"/>
      <c r="P42" s="21"/>
      <c r="Q42" s="17"/>
      <c r="R42" s="20" t="s">
        <v>48</v>
      </c>
      <c r="S42" s="21"/>
      <c r="T42" s="17">
        <f>J39*2</f>
        <v>0.04</v>
      </c>
      <c r="U42" s="1"/>
    </row>
    <row r="43" spans="1:21" ht="15.6" x14ac:dyDescent="0.3">
      <c r="A43" s="6"/>
      <c r="B43" s="20" t="s">
        <v>19</v>
      </c>
      <c r="C43" s="21"/>
      <c r="D43" s="17">
        <f>B20</f>
        <v>6.3002500000000001</v>
      </c>
      <c r="E43" s="25"/>
      <c r="F43" s="21"/>
      <c r="G43" s="17"/>
      <c r="H43" s="25"/>
      <c r="I43" s="21"/>
      <c r="J43" s="17"/>
      <c r="K43" s="20" t="s">
        <v>49</v>
      </c>
      <c r="L43" s="21"/>
      <c r="M43" s="21"/>
      <c r="N43" s="21"/>
      <c r="O43" s="20" t="s">
        <v>50</v>
      </c>
      <c r="P43" s="21"/>
      <c r="Q43" s="17"/>
      <c r="R43" s="20" t="s">
        <v>51</v>
      </c>
      <c r="S43" s="21"/>
      <c r="T43" s="17"/>
      <c r="U43" s="1"/>
    </row>
    <row r="44" spans="1:21" ht="15.6" x14ac:dyDescent="0.3">
      <c r="A44" s="6"/>
      <c r="B44" s="20" t="s">
        <v>20</v>
      </c>
      <c r="C44" s="21"/>
      <c r="D44" s="17">
        <f>B21</f>
        <v>5.7275</v>
      </c>
      <c r="E44" s="25"/>
      <c r="F44" s="21"/>
      <c r="G44" s="17"/>
      <c r="H44" s="25"/>
      <c r="I44" s="21"/>
      <c r="J44" s="17"/>
      <c r="K44" s="20" t="s">
        <v>52</v>
      </c>
      <c r="L44" s="21"/>
      <c r="M44" s="21"/>
      <c r="N44" s="21"/>
      <c r="O44" s="20" t="s">
        <v>52</v>
      </c>
      <c r="P44" s="21"/>
      <c r="Q44" s="17"/>
      <c r="R44" s="20" t="s">
        <v>53</v>
      </c>
      <c r="S44" s="21"/>
      <c r="T44" s="17">
        <f>T35-T38+T39+T41-T42-T40</f>
        <v>5.4366524315068503</v>
      </c>
      <c r="U44" s="1"/>
    </row>
    <row r="45" spans="1:21" ht="15.6" x14ac:dyDescent="0.3">
      <c r="A45" s="9"/>
      <c r="B45" s="18" t="s">
        <v>21</v>
      </c>
      <c r="C45" s="16"/>
      <c r="D45" s="17">
        <f>B22</f>
        <v>5.1547499999999999</v>
      </c>
      <c r="E45" s="15"/>
      <c r="F45" s="16"/>
      <c r="G45" s="19"/>
      <c r="H45" s="15"/>
      <c r="I45" s="16"/>
      <c r="J45" s="19"/>
      <c r="K45" s="18" t="s">
        <v>47</v>
      </c>
      <c r="L45" s="30" t="s">
        <v>54</v>
      </c>
      <c r="M45" s="16">
        <f>M35-M37+M39-M41-M40</f>
        <v>4.9525051369863018</v>
      </c>
      <c r="N45" s="16">
        <f>N35-N37+N39-N41-N40</f>
        <v>5.0228896232876723</v>
      </c>
      <c r="O45" s="18" t="s">
        <v>47</v>
      </c>
      <c r="P45" s="16"/>
      <c r="Q45" s="19">
        <f>Q37-Q39-Q41</f>
        <v>5.2850000000000001</v>
      </c>
      <c r="R45" s="18" t="s">
        <v>55</v>
      </c>
      <c r="S45" s="16"/>
      <c r="T45" s="19">
        <f>T36-T38+T39+T41-T42-T40</f>
        <v>5.6366524315068496</v>
      </c>
      <c r="U45" s="1"/>
    </row>
    <row r="46" spans="1:21" ht="15.6" x14ac:dyDescent="0.3">
      <c r="A46" s="31"/>
      <c r="B46" s="20" t="s">
        <v>56</v>
      </c>
      <c r="C46" s="21"/>
      <c r="D46" s="17">
        <f>K2+K3</f>
        <v>5.7275</v>
      </c>
      <c r="E46" s="20" t="s">
        <v>25</v>
      </c>
      <c r="F46" s="21"/>
      <c r="G46" s="17">
        <f>G35</f>
        <v>5.7275</v>
      </c>
      <c r="H46" s="20" t="s">
        <v>57</v>
      </c>
      <c r="I46" s="21"/>
      <c r="J46" s="17">
        <f>D47</f>
        <v>5.9775</v>
      </c>
      <c r="K46" s="20" t="s">
        <v>39</v>
      </c>
      <c r="L46" s="21"/>
      <c r="M46" s="21">
        <f>IF(J46&lt;M35,M35-J46,0)</f>
        <v>0</v>
      </c>
      <c r="N46" s="21">
        <f>IF(J46&lt;N35,N35-J46,0)</f>
        <v>2.2499999999999964E-2</v>
      </c>
      <c r="O46" s="20" t="s">
        <v>39</v>
      </c>
      <c r="P46" s="21"/>
      <c r="Q46" s="17">
        <f>IF(J46&gt;Q35,J46-Q35,0)</f>
        <v>0</v>
      </c>
      <c r="R46" s="20" t="s">
        <v>40</v>
      </c>
      <c r="S46" s="21"/>
      <c r="T46" s="17">
        <f>IF(J46&lt;T35,T35-J46,0)</f>
        <v>2.2499999999999964E-2</v>
      </c>
      <c r="U46" s="1"/>
    </row>
    <row r="47" spans="1:21" ht="15.6" x14ac:dyDescent="0.3">
      <c r="A47" s="6"/>
      <c r="B47" s="20" t="s">
        <v>57</v>
      </c>
      <c r="C47" s="21"/>
      <c r="D47" s="17">
        <f>K2</f>
        <v>5.9775</v>
      </c>
      <c r="E47" s="25"/>
      <c r="F47" s="21"/>
      <c r="G47" s="17"/>
      <c r="H47" s="25"/>
      <c r="I47" s="21"/>
      <c r="J47" s="17"/>
      <c r="K47" s="25"/>
      <c r="L47" s="21"/>
      <c r="M47" s="21"/>
      <c r="N47" s="21"/>
      <c r="O47" s="25"/>
      <c r="P47" s="21"/>
      <c r="Q47" s="17"/>
      <c r="R47" s="25"/>
      <c r="S47" s="21"/>
      <c r="T47" s="17"/>
      <c r="U47" s="1"/>
    </row>
    <row r="48" spans="1:21" ht="15.6" x14ac:dyDescent="0.3">
      <c r="A48" s="32"/>
      <c r="B48" s="18" t="s">
        <v>58</v>
      </c>
      <c r="C48" s="16"/>
      <c r="D48" s="17">
        <f>D47+D38</f>
        <v>5.7275</v>
      </c>
      <c r="E48" s="15"/>
      <c r="F48" s="16"/>
      <c r="G48" s="19"/>
      <c r="H48" s="18" t="s">
        <v>59</v>
      </c>
      <c r="I48" s="16"/>
      <c r="J48" s="19">
        <f>D46-J46</f>
        <v>-0.25</v>
      </c>
      <c r="K48" s="15"/>
      <c r="L48" s="16"/>
      <c r="M48" s="16"/>
      <c r="N48" s="16"/>
      <c r="O48" s="15"/>
      <c r="P48" s="16"/>
      <c r="Q48" s="19"/>
      <c r="R48" s="18" t="s">
        <v>60</v>
      </c>
      <c r="S48" s="16"/>
      <c r="T48" s="19">
        <f>IF(J46&gt;T36,J46-T36,0)</f>
        <v>0</v>
      </c>
      <c r="U48" s="1"/>
    </row>
    <row r="49" spans="1:21" ht="15.6" x14ac:dyDescent="0.3">
      <c r="A49" s="6"/>
      <c r="B49" s="25"/>
      <c r="C49" s="21"/>
      <c r="D49" s="17"/>
      <c r="E49" s="25"/>
      <c r="F49" s="21"/>
      <c r="G49" s="17"/>
      <c r="H49" s="20" t="s">
        <v>56</v>
      </c>
      <c r="I49" s="21"/>
      <c r="J49" s="17">
        <f>D46</f>
        <v>5.7275</v>
      </c>
      <c r="K49" s="20" t="s">
        <v>56</v>
      </c>
      <c r="L49" s="21"/>
      <c r="M49" s="21">
        <f>D46</f>
        <v>5.7275</v>
      </c>
      <c r="N49" s="21">
        <f>D46</f>
        <v>5.7275</v>
      </c>
      <c r="O49" s="20" t="s">
        <v>25</v>
      </c>
      <c r="P49" s="21"/>
      <c r="Q49" s="17">
        <f>G35</f>
        <v>5.7275</v>
      </c>
      <c r="R49" s="20" t="s">
        <v>56</v>
      </c>
      <c r="S49" s="21"/>
      <c r="T49" s="17">
        <f>D46</f>
        <v>5.7275</v>
      </c>
      <c r="U49" s="1"/>
    </row>
    <row r="50" spans="1:21" ht="15.6" x14ac:dyDescent="0.3">
      <c r="A50" s="6"/>
      <c r="B50" s="25"/>
      <c r="C50" s="21"/>
      <c r="D50" s="17"/>
      <c r="E50" s="25"/>
      <c r="F50" s="21"/>
      <c r="G50" s="17"/>
      <c r="H50" s="25"/>
      <c r="I50" s="21"/>
      <c r="J50" s="17"/>
      <c r="K50" s="25"/>
      <c r="L50" s="21"/>
      <c r="M50" s="21"/>
      <c r="N50" s="21"/>
      <c r="O50" s="25"/>
      <c r="P50" s="21"/>
      <c r="Q50" s="17"/>
      <c r="R50" s="25"/>
      <c r="S50" s="21"/>
      <c r="T50" s="17"/>
      <c r="U50" s="1"/>
    </row>
    <row r="51" spans="1:21" ht="15.6" x14ac:dyDescent="0.3">
      <c r="A51" s="6"/>
      <c r="B51" s="25"/>
      <c r="C51" s="21"/>
      <c r="D51" s="17"/>
      <c r="E51" s="25"/>
      <c r="F51" s="21"/>
      <c r="G51" s="17"/>
      <c r="H51" s="20" t="s">
        <v>61</v>
      </c>
      <c r="I51" s="21"/>
      <c r="J51" s="17">
        <f>J35-J46</f>
        <v>0</v>
      </c>
      <c r="K51" s="20" t="s">
        <v>62</v>
      </c>
      <c r="L51" s="21"/>
      <c r="M51" s="21">
        <f>M46-M37</f>
        <v>-0.5625</v>
      </c>
      <c r="N51" s="21">
        <f>N46-N37</f>
        <v>-0.66625000000000001</v>
      </c>
      <c r="O51" s="20" t="s">
        <v>62</v>
      </c>
      <c r="P51" s="21"/>
      <c r="Q51" s="17">
        <f>Q46-Q39</f>
        <v>-0.42249999999999999</v>
      </c>
      <c r="R51" s="20" t="s">
        <v>62</v>
      </c>
      <c r="S51" s="21"/>
      <c r="T51" s="17">
        <f>T46-T48-T38+T39</f>
        <v>-0.24375000000000002</v>
      </c>
      <c r="U51" s="1"/>
    </row>
    <row r="52" spans="1:21" ht="15.6" x14ac:dyDescent="0.3">
      <c r="A52" s="6"/>
      <c r="B52" s="25"/>
      <c r="C52" s="21"/>
      <c r="D52" s="17"/>
      <c r="E52" s="25"/>
      <c r="F52" s="21"/>
      <c r="G52" s="17"/>
      <c r="H52" s="25"/>
      <c r="I52" s="21"/>
      <c r="J52" s="17"/>
      <c r="K52" s="25"/>
      <c r="L52" s="21"/>
      <c r="M52" s="21"/>
      <c r="N52" s="21"/>
      <c r="O52" s="25"/>
      <c r="P52" s="21"/>
      <c r="Q52" s="17"/>
      <c r="R52" s="25"/>
      <c r="S52" s="21"/>
      <c r="T52" s="17"/>
      <c r="U52" s="1"/>
    </row>
    <row r="53" spans="1:21" ht="15.6" x14ac:dyDescent="0.3">
      <c r="A53" s="6"/>
      <c r="B53" s="25"/>
      <c r="C53" s="21"/>
      <c r="D53" s="17"/>
      <c r="E53" s="25"/>
      <c r="F53" s="21"/>
      <c r="G53" s="17"/>
      <c r="H53" s="20" t="s">
        <v>48</v>
      </c>
      <c r="I53" s="21"/>
      <c r="J53" s="17">
        <f>J39</f>
        <v>0.02</v>
      </c>
      <c r="K53" s="20" t="s">
        <v>48</v>
      </c>
      <c r="L53" s="21"/>
      <c r="M53" s="21">
        <f>J39</f>
        <v>0.02</v>
      </c>
      <c r="N53" s="21">
        <f>J39</f>
        <v>0.02</v>
      </c>
      <c r="O53" s="20" t="s">
        <v>48</v>
      </c>
      <c r="P53" s="21"/>
      <c r="Q53" s="17">
        <f>J39</f>
        <v>0.02</v>
      </c>
      <c r="R53" s="20" t="s">
        <v>48</v>
      </c>
      <c r="S53" s="21"/>
      <c r="T53" s="17">
        <f>T42</f>
        <v>0.04</v>
      </c>
      <c r="U53" s="1"/>
    </row>
    <row r="54" spans="1:21" ht="15.6" x14ac:dyDescent="0.3">
      <c r="A54" s="6"/>
      <c r="B54" s="25"/>
      <c r="C54" s="21"/>
      <c r="D54" s="17"/>
      <c r="E54" s="25"/>
      <c r="F54" s="21"/>
      <c r="G54" s="17"/>
      <c r="H54" s="25"/>
      <c r="I54" s="56" t="s">
        <v>155</v>
      </c>
      <c r="J54" s="17">
        <f>(J46-J35+B12)*$B$13/365*$E$5</f>
        <v>0</v>
      </c>
      <c r="K54" s="25"/>
      <c r="L54" s="56" t="s">
        <v>156</v>
      </c>
      <c r="M54" s="17">
        <f>M40</f>
        <v>1.4994863013698633E-2</v>
      </c>
      <c r="N54" s="21">
        <f>N40</f>
        <v>1.8360376712328767E-2</v>
      </c>
      <c r="O54" s="25"/>
      <c r="P54" s="56" t="s">
        <v>156</v>
      </c>
      <c r="Q54" s="17">
        <f>Q40</f>
        <v>1.1262808219178083E-2</v>
      </c>
      <c r="R54" s="25"/>
      <c r="S54" s="56" t="s">
        <v>156</v>
      </c>
      <c r="T54" s="17">
        <f>T40+(T48*B13/365*E5)</f>
        <v>7.0975684931506855E-3</v>
      </c>
      <c r="U54" s="1"/>
    </row>
    <row r="55" spans="1:21" ht="15.6" x14ac:dyDescent="0.3">
      <c r="A55" s="6"/>
      <c r="B55" s="76" t="s">
        <v>56</v>
      </c>
      <c r="C55" s="77"/>
      <c r="D55" s="78">
        <f>D46</f>
        <v>5.7275</v>
      </c>
      <c r="E55" s="76" t="s">
        <v>25</v>
      </c>
      <c r="F55" s="77"/>
      <c r="G55" s="78">
        <f>G46</f>
        <v>5.7275</v>
      </c>
      <c r="H55" s="76" t="s">
        <v>63</v>
      </c>
      <c r="I55" s="77"/>
      <c r="J55" s="79">
        <f>J49+J51-J53-J54</f>
        <v>5.7075000000000005</v>
      </c>
      <c r="K55" s="76" t="s">
        <v>63</v>
      </c>
      <c r="L55" s="77"/>
      <c r="M55" s="80">
        <f>M49+M51-M53-M54</f>
        <v>5.130005136986302</v>
      </c>
      <c r="N55" s="80">
        <f>N49+N51-N53-N54</f>
        <v>5.0228896232876723</v>
      </c>
      <c r="O55" s="76" t="s">
        <v>63</v>
      </c>
      <c r="P55" s="77"/>
      <c r="Q55" s="79">
        <f>Q49+Q51-Q53-Q54</f>
        <v>5.273737191780822</v>
      </c>
      <c r="R55" s="76" t="s">
        <v>63</v>
      </c>
      <c r="S55" s="77"/>
      <c r="T55" s="79">
        <f>T49+T51-T53-T54</f>
        <v>5.4366524315068485</v>
      </c>
      <c r="U55" s="1"/>
    </row>
    <row r="56" spans="1:21" ht="15.6" x14ac:dyDescent="0.3">
      <c r="A56" s="6"/>
      <c r="B56" s="23"/>
      <c r="C56" s="21"/>
      <c r="D56" s="21"/>
      <c r="E56" s="23"/>
      <c r="F56" s="21"/>
      <c r="G56" s="21"/>
      <c r="H56" s="23"/>
      <c r="I56" s="21"/>
      <c r="J56" s="21"/>
      <c r="K56" s="23"/>
      <c r="L56" s="21"/>
      <c r="M56" s="21"/>
      <c r="N56" s="6"/>
      <c r="O56" s="6"/>
      <c r="P56" s="6"/>
      <c r="Q56" s="6"/>
      <c r="R56" s="6"/>
      <c r="S56" s="6"/>
      <c r="T56" s="6"/>
      <c r="U56" s="6"/>
    </row>
    <row r="57" spans="1:21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6" x14ac:dyDescent="0.3">
      <c r="A58" s="9" t="s">
        <v>22</v>
      </c>
      <c r="B58" s="6"/>
      <c r="C58" s="6"/>
      <c r="D58" s="1"/>
      <c r="E58" s="6"/>
      <c r="F58" s="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"/>
    </row>
    <row r="59" spans="1:21" ht="15.6" x14ac:dyDescent="0.3">
      <c r="A59" s="10" t="s">
        <v>23</v>
      </c>
      <c r="B59" s="11" t="s">
        <v>24</v>
      </c>
      <c r="C59" s="12"/>
      <c r="D59" s="13"/>
      <c r="E59" s="11" t="s">
        <v>25</v>
      </c>
      <c r="F59" s="12"/>
      <c r="G59" s="13"/>
      <c r="H59" s="11" t="s">
        <v>26</v>
      </c>
      <c r="I59" s="12"/>
      <c r="J59" s="13"/>
      <c r="K59" s="11" t="s">
        <v>27</v>
      </c>
      <c r="L59" s="12"/>
      <c r="M59" s="12"/>
      <c r="N59" s="13"/>
      <c r="O59" s="11" t="s">
        <v>28</v>
      </c>
      <c r="P59" s="12"/>
      <c r="Q59" s="13"/>
      <c r="R59" s="63" t="s">
        <v>29</v>
      </c>
      <c r="S59" s="12"/>
      <c r="T59" s="13"/>
      <c r="U59" s="1"/>
    </row>
    <row r="60" spans="1:21" ht="15.6" x14ac:dyDescent="0.3">
      <c r="A60" s="61" t="s">
        <v>159</v>
      </c>
      <c r="B60" s="15"/>
      <c r="C60" s="16"/>
      <c r="D60" s="46"/>
      <c r="E60" s="27"/>
      <c r="F60" s="28"/>
      <c r="G60" s="46"/>
      <c r="H60" s="15"/>
      <c r="I60" s="16"/>
      <c r="J60" s="17"/>
      <c r="K60" s="15"/>
      <c r="L60" s="16"/>
      <c r="M60" s="16"/>
      <c r="N60" s="19"/>
      <c r="O60" s="18" t="s">
        <v>30</v>
      </c>
      <c r="P60" s="16"/>
      <c r="Q60" s="19"/>
      <c r="R60" s="30" t="s">
        <v>31</v>
      </c>
      <c r="S60" s="16"/>
      <c r="T60" s="19"/>
      <c r="U60" s="1"/>
    </row>
    <row r="61" spans="1:21" ht="15.6" x14ac:dyDescent="0.3">
      <c r="A61" s="1"/>
      <c r="B61" s="20" t="s">
        <v>32</v>
      </c>
      <c r="C61" s="21"/>
      <c r="D61" s="17" t="s">
        <v>161</v>
      </c>
      <c r="E61" s="27" t="s">
        <v>33</v>
      </c>
      <c r="F61" s="28"/>
      <c r="G61" s="17" t="s">
        <v>160</v>
      </c>
      <c r="H61" s="25" t="s">
        <v>160</v>
      </c>
      <c r="I61" s="23" t="s">
        <v>3</v>
      </c>
      <c r="J61" s="17" t="str">
        <f>K14</f>
        <v>Futures Hedge</v>
      </c>
      <c r="K61" s="20" t="s">
        <v>34</v>
      </c>
      <c r="L61" s="21"/>
      <c r="M61" s="21" t="s">
        <v>161</v>
      </c>
      <c r="N61" s="17" t="s">
        <v>161</v>
      </c>
      <c r="O61" s="20" t="s">
        <v>34</v>
      </c>
      <c r="P61" s="21"/>
      <c r="Q61" s="17" t="s">
        <v>161</v>
      </c>
      <c r="R61" s="23" t="s">
        <v>35</v>
      </c>
      <c r="S61" s="21"/>
      <c r="T61" s="17" t="s">
        <v>161</v>
      </c>
      <c r="U61" s="1"/>
    </row>
    <row r="62" spans="1:21" ht="15.6" x14ac:dyDescent="0.3">
      <c r="A62" s="6"/>
      <c r="B62" s="25"/>
      <c r="C62" s="21"/>
      <c r="D62" s="46"/>
      <c r="E62" s="27"/>
      <c r="F62" s="28"/>
      <c r="G62" s="46"/>
      <c r="H62" s="25"/>
      <c r="I62" s="21"/>
      <c r="J62" s="17"/>
      <c r="K62" s="25"/>
      <c r="L62" s="21"/>
      <c r="M62" s="21"/>
      <c r="N62" s="17"/>
      <c r="O62" s="25"/>
      <c r="P62" s="21"/>
      <c r="Q62" s="17"/>
      <c r="R62" s="23" t="s">
        <v>36</v>
      </c>
      <c r="S62" s="21"/>
      <c r="T62" s="17" t="s">
        <v>161</v>
      </c>
      <c r="U62" s="1"/>
    </row>
    <row r="63" spans="1:21" ht="15.6" x14ac:dyDescent="0.3">
      <c r="A63" s="6"/>
      <c r="B63" s="20" t="s">
        <v>37</v>
      </c>
      <c r="C63" s="21"/>
      <c r="D63" s="17"/>
      <c r="E63" s="25"/>
      <c r="F63" s="21"/>
      <c r="G63" s="24"/>
      <c r="H63" s="27"/>
      <c r="I63" s="56" t="s">
        <v>38</v>
      </c>
      <c r="J63" s="17" t="s">
        <v>161</v>
      </c>
      <c r="K63" s="20" t="s">
        <v>39</v>
      </c>
      <c r="L63" s="21"/>
      <c r="M63" s="21" t="s">
        <v>161</v>
      </c>
      <c r="N63" s="17" t="s">
        <v>161</v>
      </c>
      <c r="O63" s="20" t="s">
        <v>25</v>
      </c>
      <c r="P63" s="21"/>
      <c r="Q63" s="17" t="s">
        <v>161</v>
      </c>
      <c r="R63" s="21"/>
      <c r="S63" s="21"/>
      <c r="T63" s="17"/>
      <c r="U63" s="1"/>
    </row>
    <row r="64" spans="1:21" ht="15.6" x14ac:dyDescent="0.3">
      <c r="A64" s="6"/>
      <c r="B64" s="20" t="s">
        <v>0</v>
      </c>
      <c r="C64" s="21"/>
      <c r="D64" s="17" t="s">
        <v>161</v>
      </c>
      <c r="E64" s="25"/>
      <c r="F64" s="21"/>
      <c r="G64" s="17"/>
      <c r="H64" s="25"/>
      <c r="I64" s="21"/>
      <c r="J64" s="17"/>
      <c r="K64" s="25"/>
      <c r="L64" s="21"/>
      <c r="M64" s="21"/>
      <c r="N64" s="17"/>
      <c r="O64" s="25"/>
      <c r="P64" s="21"/>
      <c r="Q64" s="17"/>
      <c r="R64" s="23" t="s">
        <v>40</v>
      </c>
      <c r="S64" s="21"/>
      <c r="T64" s="17" t="s">
        <v>161</v>
      </c>
      <c r="U64" s="1"/>
    </row>
    <row r="65" spans="1:21" ht="15.6" x14ac:dyDescent="0.3">
      <c r="A65" s="6"/>
      <c r="B65" s="20" t="s">
        <v>41</v>
      </c>
      <c r="C65" s="21"/>
      <c r="D65" s="17" t="s">
        <v>161</v>
      </c>
      <c r="E65" s="25"/>
      <c r="F65" s="21"/>
      <c r="G65" s="17"/>
      <c r="H65" s="27"/>
      <c r="I65" s="56" t="s">
        <v>42</v>
      </c>
      <c r="J65" s="17" t="s">
        <v>161</v>
      </c>
      <c r="K65" s="20" t="s">
        <v>43</v>
      </c>
      <c r="L65" s="21"/>
      <c r="M65" s="21" t="s">
        <v>161</v>
      </c>
      <c r="N65" s="17" t="s">
        <v>161</v>
      </c>
      <c r="O65" s="20" t="s">
        <v>39</v>
      </c>
      <c r="P65" s="21"/>
      <c r="Q65" s="17" t="s">
        <v>161</v>
      </c>
      <c r="R65" s="23" t="s">
        <v>44</v>
      </c>
      <c r="S65" s="21"/>
      <c r="T65" s="17" t="s">
        <v>161</v>
      </c>
      <c r="U65" s="1"/>
    </row>
    <row r="66" spans="1:21" ht="15.6" x14ac:dyDescent="0.3">
      <c r="A66" s="6"/>
      <c r="B66" s="27"/>
      <c r="C66" s="28"/>
      <c r="D66" s="17"/>
      <c r="E66" s="25"/>
      <c r="F66" s="21"/>
      <c r="G66" s="17"/>
      <c r="H66" s="25"/>
      <c r="I66" s="56" t="s">
        <v>155</v>
      </c>
      <c r="J66" s="17" t="s">
        <v>161</v>
      </c>
      <c r="K66" s="25"/>
      <c r="L66" s="56" t="s">
        <v>156</v>
      </c>
      <c r="M66" s="21" t="s">
        <v>161</v>
      </c>
      <c r="N66" s="17" t="s">
        <v>161</v>
      </c>
      <c r="O66" s="25"/>
      <c r="P66" s="56" t="s">
        <v>156</v>
      </c>
      <c r="Q66" s="17" t="s">
        <v>161</v>
      </c>
      <c r="R66" s="21"/>
      <c r="S66" s="56" t="s">
        <v>156</v>
      </c>
      <c r="T66" s="17" t="s">
        <v>161</v>
      </c>
      <c r="U66" s="1"/>
    </row>
    <row r="67" spans="1:21" ht="15.6" x14ac:dyDescent="0.3">
      <c r="A67" s="6"/>
      <c r="B67" s="25"/>
      <c r="C67" s="29"/>
      <c r="D67" s="17"/>
      <c r="E67" s="25"/>
      <c r="F67" s="21"/>
      <c r="G67" s="17"/>
      <c r="H67" s="20" t="s">
        <v>45</v>
      </c>
      <c r="I67" s="21"/>
      <c r="J67" s="17"/>
      <c r="K67" s="20" t="s">
        <v>42</v>
      </c>
      <c r="L67" s="21"/>
      <c r="M67" s="21" t="s">
        <v>161</v>
      </c>
      <c r="N67" s="17" t="s">
        <v>161</v>
      </c>
      <c r="O67" s="20" t="s">
        <v>42</v>
      </c>
      <c r="P67" s="21"/>
      <c r="Q67" s="17" t="s">
        <v>161</v>
      </c>
      <c r="R67" s="23" t="s">
        <v>43</v>
      </c>
      <c r="S67" s="21"/>
      <c r="T67" s="17" t="s">
        <v>161</v>
      </c>
      <c r="U67" s="1"/>
    </row>
    <row r="68" spans="1:21" ht="15.6" x14ac:dyDescent="0.3">
      <c r="A68" s="6"/>
      <c r="B68" s="20" t="s">
        <v>46</v>
      </c>
      <c r="C68" s="21"/>
      <c r="D68" s="17"/>
      <c r="E68" s="25"/>
      <c r="F68" s="21"/>
      <c r="G68" s="17"/>
      <c r="H68" s="20" t="s">
        <v>47</v>
      </c>
      <c r="I68" s="21"/>
      <c r="J68" s="17" t="s">
        <v>161</v>
      </c>
      <c r="K68" s="65"/>
      <c r="L68" s="62"/>
      <c r="M68" s="62"/>
      <c r="N68" s="66"/>
      <c r="O68" s="25"/>
      <c r="P68" s="21"/>
      <c r="Q68" s="17"/>
      <c r="R68" s="23" t="s">
        <v>48</v>
      </c>
      <c r="S68" s="21"/>
      <c r="T68" s="17" t="s">
        <v>161</v>
      </c>
      <c r="U68" s="1"/>
    </row>
    <row r="69" spans="1:21" ht="15.6" x14ac:dyDescent="0.3">
      <c r="A69" s="6"/>
      <c r="B69" s="20" t="s">
        <v>19</v>
      </c>
      <c r="C69" s="21"/>
      <c r="D69" s="17" t="s">
        <v>161</v>
      </c>
      <c r="E69" s="25"/>
      <c r="F69" s="21"/>
      <c r="G69" s="17"/>
      <c r="H69" s="25"/>
      <c r="I69" s="21"/>
      <c r="J69" s="17"/>
      <c r="K69" s="20" t="s">
        <v>49</v>
      </c>
      <c r="L69" s="21"/>
      <c r="M69" s="21"/>
      <c r="N69" s="17"/>
      <c r="O69" s="20" t="s">
        <v>50</v>
      </c>
      <c r="P69" s="21"/>
      <c r="Q69" s="17"/>
      <c r="R69" s="23" t="s">
        <v>51</v>
      </c>
      <c r="S69" s="21"/>
      <c r="T69" s="17"/>
      <c r="U69" s="1"/>
    </row>
    <row r="70" spans="1:21" ht="15.6" x14ac:dyDescent="0.3">
      <c r="A70" s="6"/>
      <c r="B70" s="20" t="s">
        <v>20</v>
      </c>
      <c r="C70" s="21"/>
      <c r="D70" s="17" t="s">
        <v>161</v>
      </c>
      <c r="E70" s="25"/>
      <c r="F70" s="21"/>
      <c r="G70" s="17"/>
      <c r="H70" s="25"/>
      <c r="I70" s="21"/>
      <c r="J70" s="17"/>
      <c r="K70" s="20" t="s">
        <v>52</v>
      </c>
      <c r="L70" s="21"/>
      <c r="M70" s="21"/>
      <c r="N70" s="17"/>
      <c r="O70" s="20" t="s">
        <v>52</v>
      </c>
      <c r="P70" s="21"/>
      <c r="Q70" s="17"/>
      <c r="R70" s="23" t="s">
        <v>53</v>
      </c>
      <c r="S70" s="21"/>
      <c r="T70" s="17" t="s">
        <v>161</v>
      </c>
      <c r="U70" s="1"/>
    </row>
    <row r="71" spans="1:21" ht="15.6" x14ac:dyDescent="0.3">
      <c r="A71" s="9"/>
      <c r="B71" s="20" t="s">
        <v>21</v>
      </c>
      <c r="C71" s="16"/>
      <c r="D71" s="17" t="s">
        <v>161</v>
      </c>
      <c r="E71" s="15"/>
      <c r="F71" s="16"/>
      <c r="G71" s="19"/>
      <c r="H71" s="15"/>
      <c r="I71" s="16"/>
      <c r="J71" s="19"/>
      <c r="K71" s="18" t="s">
        <v>47</v>
      </c>
      <c r="L71" s="30" t="s">
        <v>54</v>
      </c>
      <c r="M71" s="21" t="s">
        <v>161</v>
      </c>
      <c r="N71" s="17" t="s">
        <v>161</v>
      </c>
      <c r="O71" s="18" t="s">
        <v>47</v>
      </c>
      <c r="P71" s="16"/>
      <c r="Q71" s="17" t="s">
        <v>161</v>
      </c>
      <c r="R71" s="30" t="s">
        <v>55</v>
      </c>
      <c r="S71" s="16"/>
      <c r="T71" s="17" t="s">
        <v>161</v>
      </c>
      <c r="U71" s="1"/>
    </row>
    <row r="72" spans="1:21" ht="15.6" x14ac:dyDescent="0.3">
      <c r="A72" s="9"/>
      <c r="B72" s="20"/>
      <c r="C72" s="16"/>
      <c r="D72" s="17"/>
      <c r="E72" s="15"/>
      <c r="F72" s="16"/>
      <c r="G72" s="19"/>
      <c r="H72" s="15"/>
      <c r="I72" s="16"/>
      <c r="J72" s="19"/>
      <c r="K72" s="18"/>
      <c r="L72" s="30"/>
      <c r="M72" s="21"/>
      <c r="N72" s="17"/>
      <c r="O72" s="18"/>
      <c r="P72" s="16"/>
      <c r="Q72" s="17"/>
      <c r="R72" s="30"/>
      <c r="S72" s="16"/>
      <c r="T72" s="17"/>
      <c r="U72" s="1"/>
    </row>
    <row r="73" spans="1:21" ht="15.6" x14ac:dyDescent="0.3">
      <c r="A73" s="31"/>
      <c r="B73" s="20" t="s">
        <v>56</v>
      </c>
      <c r="C73" s="21"/>
      <c r="D73" s="17" t="s">
        <v>161</v>
      </c>
      <c r="E73" s="20" t="s">
        <v>25</v>
      </c>
      <c r="F73" s="21"/>
      <c r="G73" s="17" t="s">
        <v>161</v>
      </c>
      <c r="H73" s="20" t="s">
        <v>57</v>
      </c>
      <c r="I73" s="21"/>
      <c r="J73" s="17" t="s">
        <v>161</v>
      </c>
      <c r="K73" s="20" t="s">
        <v>39</v>
      </c>
      <c r="L73" s="21"/>
      <c r="M73" s="21" t="s">
        <v>161</v>
      </c>
      <c r="N73" s="17" t="s">
        <v>161</v>
      </c>
      <c r="O73" s="20" t="s">
        <v>39</v>
      </c>
      <c r="P73" s="21"/>
      <c r="Q73" s="17" t="s">
        <v>161</v>
      </c>
      <c r="R73" s="23" t="s">
        <v>40</v>
      </c>
      <c r="S73" s="21"/>
      <c r="T73" s="17" t="s">
        <v>161</v>
      </c>
      <c r="U73" s="1"/>
    </row>
    <row r="74" spans="1:21" ht="15.6" x14ac:dyDescent="0.3">
      <c r="A74" s="6"/>
      <c r="B74" s="20" t="s">
        <v>57</v>
      </c>
      <c r="C74" s="21"/>
      <c r="D74" s="17" t="s">
        <v>161</v>
      </c>
      <c r="E74" s="25"/>
      <c r="F74" s="21"/>
      <c r="G74" s="17"/>
      <c r="H74" s="25"/>
      <c r="I74" s="21"/>
      <c r="J74" s="17"/>
      <c r="K74" s="25"/>
      <c r="L74" s="21"/>
      <c r="M74" s="21"/>
      <c r="N74" s="17"/>
      <c r="O74" s="25"/>
      <c r="P74" s="21"/>
      <c r="Q74" s="17"/>
      <c r="R74" s="21"/>
      <c r="S74" s="21"/>
      <c r="T74" s="17"/>
      <c r="U74" s="1"/>
    </row>
    <row r="75" spans="1:21" ht="15.6" x14ac:dyDescent="0.3">
      <c r="A75" s="32"/>
      <c r="B75" s="20" t="s">
        <v>58</v>
      </c>
      <c r="C75" s="16"/>
      <c r="D75" s="17" t="s">
        <v>161</v>
      </c>
      <c r="E75" s="15"/>
      <c r="F75" s="16"/>
      <c r="G75" s="19"/>
      <c r="H75" s="18" t="s">
        <v>59</v>
      </c>
      <c r="I75" s="16"/>
      <c r="J75" s="17" t="s">
        <v>161</v>
      </c>
      <c r="K75" s="15"/>
      <c r="L75" s="16"/>
      <c r="M75" s="16"/>
      <c r="N75" s="19"/>
      <c r="O75" s="15"/>
      <c r="P75" s="16"/>
      <c r="Q75" s="19"/>
      <c r="R75" s="30" t="s">
        <v>60</v>
      </c>
      <c r="S75" s="16"/>
      <c r="T75" s="17" t="s">
        <v>161</v>
      </c>
      <c r="U75" s="1"/>
    </row>
    <row r="76" spans="1:21" ht="15.6" x14ac:dyDescent="0.3">
      <c r="A76" s="6"/>
      <c r="B76" s="25"/>
      <c r="C76" s="21"/>
      <c r="D76" s="17"/>
      <c r="E76" s="25"/>
      <c r="F76" s="21"/>
      <c r="G76" s="17"/>
      <c r="H76" s="20" t="s">
        <v>56</v>
      </c>
      <c r="I76" s="21"/>
      <c r="J76" s="17" t="s">
        <v>161</v>
      </c>
      <c r="K76" s="20" t="s">
        <v>56</v>
      </c>
      <c r="L76" s="21"/>
      <c r="M76" s="21" t="s">
        <v>161</v>
      </c>
      <c r="N76" s="17" t="s">
        <v>161</v>
      </c>
      <c r="O76" s="20" t="s">
        <v>25</v>
      </c>
      <c r="P76" s="21"/>
      <c r="Q76" s="17" t="s">
        <v>161</v>
      </c>
      <c r="R76" s="23" t="s">
        <v>56</v>
      </c>
      <c r="S76" s="21"/>
      <c r="T76" s="17" t="s">
        <v>161</v>
      </c>
      <c r="U76" s="1"/>
    </row>
    <row r="77" spans="1:21" ht="15.6" x14ac:dyDescent="0.3">
      <c r="A77" s="6"/>
      <c r="B77" s="25"/>
      <c r="C77" s="21"/>
      <c r="D77" s="17"/>
      <c r="E77" s="25"/>
      <c r="F77" s="21"/>
      <c r="G77" s="17"/>
      <c r="H77" s="25"/>
      <c r="I77" s="21"/>
      <c r="J77" s="17"/>
      <c r="K77" s="25"/>
      <c r="L77" s="21"/>
      <c r="M77" s="21"/>
      <c r="N77" s="17"/>
      <c r="O77" s="25"/>
      <c r="P77" s="21"/>
      <c r="Q77" s="17"/>
      <c r="R77" s="21"/>
      <c r="S77" s="21"/>
      <c r="T77" s="17"/>
      <c r="U77" s="1"/>
    </row>
    <row r="78" spans="1:21" ht="15.6" x14ac:dyDescent="0.3">
      <c r="A78" s="6"/>
      <c r="B78" s="25"/>
      <c r="C78" s="21"/>
      <c r="D78" s="17"/>
      <c r="E78" s="25"/>
      <c r="F78" s="21"/>
      <c r="G78" s="17"/>
      <c r="H78" s="20" t="s">
        <v>61</v>
      </c>
      <c r="I78" s="21"/>
      <c r="J78" s="17" t="s">
        <v>161</v>
      </c>
      <c r="K78" s="20" t="s">
        <v>62</v>
      </c>
      <c r="L78" s="21"/>
      <c r="M78" s="21" t="s">
        <v>161</v>
      </c>
      <c r="N78" s="17" t="s">
        <v>161</v>
      </c>
      <c r="O78" s="20" t="s">
        <v>62</v>
      </c>
      <c r="P78" s="21"/>
      <c r="Q78" s="17" t="s">
        <v>161</v>
      </c>
      <c r="R78" s="23" t="s">
        <v>62</v>
      </c>
      <c r="S78" s="21" t="s">
        <v>161</v>
      </c>
      <c r="T78" s="17" t="s">
        <v>161</v>
      </c>
      <c r="U78" s="1"/>
    </row>
    <row r="79" spans="1:21" ht="15.6" x14ac:dyDescent="0.3">
      <c r="A79" s="6"/>
      <c r="B79" s="25"/>
      <c r="C79" s="21"/>
      <c r="D79" s="17"/>
      <c r="E79" s="25"/>
      <c r="F79" s="21"/>
      <c r="G79" s="17"/>
      <c r="H79" s="25"/>
      <c r="I79" s="21"/>
      <c r="J79" s="17"/>
      <c r="K79" s="25"/>
      <c r="L79" s="21"/>
      <c r="M79" s="21"/>
      <c r="N79" s="17"/>
      <c r="O79" s="25"/>
      <c r="P79" s="21"/>
      <c r="Q79" s="17"/>
      <c r="R79" s="21"/>
      <c r="S79" s="21"/>
      <c r="T79" s="17"/>
      <c r="U79" s="1"/>
    </row>
    <row r="80" spans="1:21" ht="15.6" x14ac:dyDescent="0.3">
      <c r="A80" s="6"/>
      <c r="B80" s="25"/>
      <c r="C80" s="21"/>
      <c r="D80" s="17"/>
      <c r="E80" s="25"/>
      <c r="F80" s="21"/>
      <c r="G80" s="17"/>
      <c r="H80" s="20" t="s">
        <v>48</v>
      </c>
      <c r="I80" s="21"/>
      <c r="J80" s="17" t="s">
        <v>161</v>
      </c>
      <c r="K80" s="20" t="s">
        <v>48</v>
      </c>
      <c r="L80" s="21"/>
      <c r="M80" s="21" t="s">
        <v>161</v>
      </c>
      <c r="N80" s="17" t="s">
        <v>161</v>
      </c>
      <c r="O80" s="20" t="s">
        <v>48</v>
      </c>
      <c r="P80" s="21"/>
      <c r="Q80" s="17" t="s">
        <v>161</v>
      </c>
      <c r="R80" s="23" t="s">
        <v>48</v>
      </c>
      <c r="S80" s="21"/>
      <c r="T80" s="17" t="s">
        <v>161</v>
      </c>
      <c r="U80" s="1"/>
    </row>
    <row r="81" spans="1:30" ht="15.6" x14ac:dyDescent="0.3">
      <c r="A81" s="6"/>
      <c r="B81" s="25"/>
      <c r="C81" s="21"/>
      <c r="D81" s="17"/>
      <c r="E81" s="25"/>
      <c r="F81" s="21"/>
      <c r="G81" s="17"/>
      <c r="H81" s="25"/>
      <c r="I81" s="56" t="s">
        <v>155</v>
      </c>
      <c r="J81" s="17" t="s">
        <v>161</v>
      </c>
      <c r="K81" s="25"/>
      <c r="L81" s="56" t="s">
        <v>156</v>
      </c>
      <c r="M81" s="21" t="s">
        <v>161</v>
      </c>
      <c r="N81" s="17" t="s">
        <v>161</v>
      </c>
      <c r="O81" s="25"/>
      <c r="P81" s="56" t="s">
        <v>156</v>
      </c>
      <c r="Q81" s="17" t="s">
        <v>161</v>
      </c>
      <c r="R81" s="21"/>
      <c r="S81" s="56" t="s">
        <v>156</v>
      </c>
      <c r="T81" s="17" t="s">
        <v>161</v>
      </c>
      <c r="U81" s="1"/>
    </row>
    <row r="82" spans="1:30" ht="15.6" x14ac:dyDescent="0.3">
      <c r="A82" s="6"/>
      <c r="B82" s="33" t="s">
        <v>56</v>
      </c>
      <c r="C82" s="34"/>
      <c r="D82" s="35" t="str">
        <f>D73</f>
        <v>______</v>
      </c>
      <c r="E82" s="33" t="s">
        <v>25</v>
      </c>
      <c r="F82" s="34"/>
      <c r="G82" s="35" t="s">
        <v>161</v>
      </c>
      <c r="H82" s="33" t="s">
        <v>63</v>
      </c>
      <c r="I82" s="34"/>
      <c r="J82" s="35" t="s">
        <v>161</v>
      </c>
      <c r="K82" s="33" t="s">
        <v>63</v>
      </c>
      <c r="L82" s="34"/>
      <c r="M82" s="34" t="s">
        <v>161</v>
      </c>
      <c r="N82" s="35" t="s">
        <v>161</v>
      </c>
      <c r="O82" s="33" t="s">
        <v>63</v>
      </c>
      <c r="P82" s="34"/>
      <c r="Q82" s="35" t="s">
        <v>161</v>
      </c>
      <c r="R82" s="64" t="s">
        <v>63</v>
      </c>
      <c r="S82" s="34"/>
      <c r="T82" s="35" t="s">
        <v>161</v>
      </c>
      <c r="U82" s="1"/>
    </row>
    <row r="83" spans="1:30" ht="15.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30" ht="15.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6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6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6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6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.6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.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.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.6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6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6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.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.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.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.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.6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.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6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6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6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6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6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6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</sheetData>
  <sheetProtection sheet="1" objects="1" scenarios="1"/>
  <mergeCells count="4">
    <mergeCell ref="B2:C2"/>
    <mergeCell ref="B3:C3"/>
    <mergeCell ref="B4:C4"/>
    <mergeCell ref="B5:C5"/>
  </mergeCells>
  <phoneticPr fontId="2" type="noConversion"/>
  <conditionalFormatting sqref="O8:O32 P9:P32">
    <cfRule type="cellIs" dxfId="13" priority="1" stopIfTrue="1" operator="greaterThan">
      <formula>0</formula>
    </cfRule>
    <cfRule type="cellIs" dxfId="12" priority="2" stopIfTrue="1" operator="lessThan">
      <formula>0</formula>
    </cfRule>
  </conditionalFormatting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44"/>
  <sheetViews>
    <sheetView zoomScaleNormal="100" workbookViewId="0">
      <selection activeCell="B2" sqref="B2"/>
    </sheetView>
  </sheetViews>
  <sheetFormatPr defaultRowHeight="13.2" x14ac:dyDescent="0.25"/>
  <cols>
    <col min="1" max="1" width="33.77734375" customWidth="1"/>
    <col min="2" max="2" width="12.77734375" customWidth="1"/>
    <col min="3" max="3" width="10.77734375" customWidth="1"/>
    <col min="4" max="4" width="15.77734375" customWidth="1"/>
    <col min="5" max="5" width="8.77734375" customWidth="1"/>
    <col min="6" max="6" width="4.77734375" customWidth="1"/>
    <col min="7" max="7" width="1.77734375" customWidth="1"/>
    <col min="8" max="8" width="10.77734375" customWidth="1"/>
    <col min="9" max="11" width="8.77734375" customWidth="1"/>
    <col min="12" max="12" width="12.77734375" customWidth="1"/>
    <col min="13" max="14" width="8.77734375" customWidth="1"/>
    <col min="15" max="15" width="4.77734375" customWidth="1"/>
    <col min="16" max="24" width="8.77734375" customWidth="1"/>
  </cols>
  <sheetData>
    <row r="1" spans="1:23" ht="21" x14ac:dyDescent="0.4">
      <c r="A1" s="160"/>
      <c r="B1" s="250" t="s">
        <v>195</v>
      </c>
      <c r="C1" s="161"/>
      <c r="D1" s="161"/>
      <c r="E1" s="161"/>
      <c r="F1" s="163"/>
      <c r="G1" s="1"/>
      <c r="H1" s="1"/>
      <c r="I1" s="1"/>
      <c r="J1" s="145"/>
      <c r="K1" s="144" t="s">
        <v>64</v>
      </c>
      <c r="L1" s="47">
        <f>C14</f>
        <v>44696</v>
      </c>
      <c r="M1" s="27"/>
      <c r="N1" s="69"/>
      <c r="O1" s="1"/>
      <c r="P1" s="1"/>
      <c r="Q1" s="2"/>
      <c r="R1" s="48"/>
      <c r="S1" s="1"/>
      <c r="T1" s="1"/>
      <c r="U1" s="1"/>
      <c r="V1" s="1"/>
      <c r="W1" s="1"/>
    </row>
    <row r="2" spans="1:23" ht="15.6" customHeight="1" x14ac:dyDescent="0.3">
      <c r="A2" s="214" t="s">
        <v>4</v>
      </c>
      <c r="B2" s="43" t="s">
        <v>196</v>
      </c>
      <c r="C2" s="28"/>
      <c r="D2" s="28"/>
      <c r="E2" s="28"/>
      <c r="F2" s="166"/>
      <c r="G2" s="1"/>
      <c r="H2" s="1"/>
      <c r="I2" s="1"/>
      <c r="K2" s="2" t="s">
        <v>11</v>
      </c>
      <c r="L2" s="68">
        <f>B14</f>
        <v>6.5575000000000001</v>
      </c>
      <c r="M2" s="27"/>
      <c r="R2" s="225"/>
      <c r="S2" s="226" t="s">
        <v>56</v>
      </c>
      <c r="T2" s="224">
        <f>D66</f>
        <v>6.4375</v>
      </c>
      <c r="U2" s="227" t="s">
        <v>135</v>
      </c>
      <c r="V2" s="228">
        <f>D68</f>
        <v>7.0000000000000007E-2</v>
      </c>
      <c r="W2" s="1"/>
    </row>
    <row r="3" spans="1:23" ht="15.6" customHeight="1" x14ac:dyDescent="0.3">
      <c r="A3" s="214" t="s">
        <v>5</v>
      </c>
      <c r="B3" s="44" t="s">
        <v>6</v>
      </c>
      <c r="C3" s="28"/>
      <c r="D3" s="28"/>
      <c r="E3" s="28"/>
      <c r="F3" s="166"/>
      <c r="G3" s="1"/>
      <c r="H3" s="1"/>
      <c r="I3" s="1"/>
      <c r="K3" s="2" t="s">
        <v>65</v>
      </c>
      <c r="L3" s="5">
        <f>B15</f>
        <v>-0.12000000000000011</v>
      </c>
      <c r="M3" s="1" t="s">
        <v>13</v>
      </c>
      <c r="N3" s="1"/>
      <c r="O3" s="1"/>
      <c r="P3" s="1"/>
      <c r="Q3" s="1"/>
      <c r="R3" s="1"/>
      <c r="S3" s="1"/>
      <c r="T3" s="1"/>
    </row>
    <row r="4" spans="1:23" ht="15.6" customHeight="1" thickBot="1" x14ac:dyDescent="0.35">
      <c r="A4" s="214" t="s">
        <v>7</v>
      </c>
      <c r="B4" s="208">
        <v>44618</v>
      </c>
      <c r="C4" s="209"/>
      <c r="D4" s="28"/>
      <c r="E4" s="28"/>
      <c r="F4" s="166"/>
      <c r="G4" s="1"/>
      <c r="H4" s="1"/>
      <c r="I4" s="1"/>
    </row>
    <row r="5" spans="1:23" ht="15.6" customHeight="1" x14ac:dyDescent="0.3">
      <c r="A5" s="215" t="s">
        <v>162</v>
      </c>
      <c r="B5" s="212">
        <v>44618</v>
      </c>
      <c r="C5" s="213"/>
      <c r="D5" s="92" t="s">
        <v>153</v>
      </c>
      <c r="E5" s="92"/>
      <c r="F5" s="166"/>
      <c r="G5" s="1"/>
      <c r="H5" s="28"/>
      <c r="I5" s="160"/>
      <c r="J5" s="162"/>
      <c r="K5" s="162"/>
      <c r="L5" s="162"/>
      <c r="M5" s="273"/>
      <c r="N5" s="162"/>
      <c r="O5" s="162"/>
      <c r="P5" s="162"/>
      <c r="Q5" s="162"/>
      <c r="R5" s="162"/>
      <c r="S5" s="162"/>
      <c r="T5" s="162"/>
      <c r="U5" s="148" t="s">
        <v>131</v>
      </c>
      <c r="V5" s="161"/>
      <c r="W5" s="163" t="s">
        <v>131</v>
      </c>
    </row>
    <row r="6" spans="1:23" ht="15.6" customHeight="1" x14ac:dyDescent="0.3">
      <c r="A6" s="214" t="s">
        <v>78</v>
      </c>
      <c r="B6" s="212">
        <v>44696</v>
      </c>
      <c r="C6" s="213"/>
      <c r="D6" s="251">
        <f>B6-B5</f>
        <v>78</v>
      </c>
      <c r="E6" s="92" t="s">
        <v>166</v>
      </c>
      <c r="F6" s="166"/>
      <c r="G6" s="1"/>
      <c r="H6" s="28"/>
      <c r="I6" s="269"/>
      <c r="J6" s="62"/>
      <c r="K6" s="28"/>
      <c r="L6" s="211" t="s">
        <v>215</v>
      </c>
      <c r="M6" s="211"/>
      <c r="N6" s="28"/>
      <c r="O6" s="28"/>
      <c r="P6" s="28"/>
      <c r="Q6" s="40" t="s">
        <v>136</v>
      </c>
      <c r="R6" s="28"/>
      <c r="S6" s="40" t="s">
        <v>137</v>
      </c>
      <c r="T6" s="28"/>
      <c r="U6" s="40" t="s">
        <v>67</v>
      </c>
      <c r="V6" s="28"/>
      <c r="W6" s="166" t="s">
        <v>67</v>
      </c>
    </row>
    <row r="7" spans="1:23" ht="15.6" customHeight="1" x14ac:dyDescent="0.3">
      <c r="A7" s="214" t="s">
        <v>79</v>
      </c>
      <c r="B7" s="3">
        <v>0</v>
      </c>
      <c r="C7" s="28"/>
      <c r="D7" s="252">
        <f>D6/(365/12)</f>
        <v>2.5643835616438353</v>
      </c>
      <c r="E7" s="92" t="s">
        <v>167</v>
      </c>
      <c r="F7" s="166"/>
      <c r="G7" s="1"/>
      <c r="H7" s="28"/>
      <c r="I7" s="164"/>
      <c r="J7" s="62"/>
      <c r="K7" s="39"/>
      <c r="L7" s="211"/>
      <c r="M7" s="211"/>
      <c r="N7" s="28"/>
      <c r="O7" s="28"/>
      <c r="P7" s="28"/>
      <c r="Q7" s="40" t="s">
        <v>139</v>
      </c>
      <c r="R7" s="28"/>
      <c r="S7" s="40" t="s">
        <v>140</v>
      </c>
      <c r="T7" s="28"/>
      <c r="U7" s="40" t="s">
        <v>133</v>
      </c>
      <c r="V7" s="28"/>
      <c r="W7" s="166" t="s">
        <v>134</v>
      </c>
    </row>
    <row r="8" spans="1:23" ht="15.6" customHeight="1" thickBot="1" x14ac:dyDescent="0.35">
      <c r="A8" s="214" t="s">
        <v>80</v>
      </c>
      <c r="B8" s="5">
        <v>0.01</v>
      </c>
      <c r="C8" s="28"/>
      <c r="D8" s="28"/>
      <c r="E8" s="28"/>
      <c r="F8" s="166"/>
      <c r="G8" s="1"/>
      <c r="H8" s="165"/>
      <c r="I8" s="164"/>
      <c r="J8" s="62"/>
      <c r="K8" s="28"/>
      <c r="L8" s="211"/>
      <c r="M8" s="211"/>
      <c r="N8" s="165" t="s">
        <v>138</v>
      </c>
      <c r="O8" s="69"/>
      <c r="P8" s="167" t="s">
        <v>142</v>
      </c>
      <c r="Q8" s="168" t="s">
        <v>1</v>
      </c>
      <c r="R8" s="69"/>
      <c r="S8" s="168" t="s">
        <v>143</v>
      </c>
      <c r="T8" s="69"/>
      <c r="U8" s="168" t="s">
        <v>111</v>
      </c>
      <c r="V8" s="69"/>
      <c r="W8" s="169" t="s">
        <v>111</v>
      </c>
    </row>
    <row r="9" spans="1:23" ht="15.6" customHeight="1" x14ac:dyDescent="0.3">
      <c r="A9" s="214" t="s">
        <v>81</v>
      </c>
      <c r="B9" s="45">
        <v>3.5000000000000003E-2</v>
      </c>
      <c r="C9" s="28"/>
      <c r="D9" s="28"/>
      <c r="E9" s="28"/>
      <c r="F9" s="166"/>
      <c r="G9" s="1"/>
      <c r="H9" s="28"/>
      <c r="I9" s="164"/>
      <c r="J9" s="62"/>
      <c r="K9" s="39"/>
      <c r="L9" s="54" t="str">
        <f>B71</f>
        <v xml:space="preserve">  Cash Market</v>
      </c>
      <c r="M9" s="146">
        <f>D71</f>
        <v>6.3674999999999997</v>
      </c>
      <c r="N9" s="147">
        <f>E71</f>
        <v>6.3674999999999997</v>
      </c>
      <c r="O9" s="148"/>
      <c r="P9" s="147">
        <f>I71</f>
        <v>0</v>
      </c>
      <c r="Q9" s="147" t="str">
        <f>J71</f>
        <v xml:space="preserve">     NA</v>
      </c>
      <c r="R9" s="148"/>
      <c r="S9" s="147">
        <f>L71</f>
        <v>7.499999999999396E-3</v>
      </c>
      <c r="T9" s="148"/>
      <c r="U9" s="147">
        <f>N71</f>
        <v>6.3674999999999997</v>
      </c>
      <c r="V9" s="148"/>
      <c r="W9" s="149">
        <f>P71</f>
        <v>6.3674999999999997</v>
      </c>
    </row>
    <row r="10" spans="1:23" ht="15.6" customHeight="1" x14ac:dyDescent="0.3">
      <c r="A10" s="214" t="s">
        <v>212</v>
      </c>
      <c r="B10" s="5">
        <v>6.56</v>
      </c>
      <c r="C10" s="216">
        <f>B5</f>
        <v>44618</v>
      </c>
      <c r="D10" s="28"/>
      <c r="E10" s="28"/>
      <c r="F10" s="166"/>
      <c r="G10" s="1"/>
      <c r="H10" s="28"/>
      <c r="I10" s="164"/>
      <c r="J10" s="62"/>
      <c r="K10" s="39"/>
      <c r="L10" s="39"/>
      <c r="M10" s="150"/>
      <c r="N10" s="40"/>
      <c r="O10" s="40"/>
      <c r="P10" s="40"/>
      <c r="Q10" s="40"/>
      <c r="R10" s="40"/>
      <c r="S10" s="40"/>
      <c r="T10" s="40"/>
      <c r="U10" s="40"/>
      <c r="V10" s="40"/>
      <c r="W10" s="151"/>
    </row>
    <row r="11" spans="1:23" ht="15.6" customHeight="1" x14ac:dyDescent="0.3">
      <c r="A11" s="214" t="s">
        <v>213</v>
      </c>
      <c r="B11" s="5">
        <v>6.36</v>
      </c>
      <c r="C11" s="239">
        <f>B11-B10</f>
        <v>-0.19999999999999929</v>
      </c>
      <c r="D11" s="28" t="s">
        <v>189</v>
      </c>
      <c r="E11" s="28"/>
      <c r="F11" s="166"/>
      <c r="G11" s="1"/>
      <c r="H11" s="28"/>
      <c r="I11" s="164"/>
      <c r="J11" s="62"/>
      <c r="K11" s="54" t="str">
        <f>B72</f>
        <v xml:space="preserve">  Basis Contract (70% paid up front)</v>
      </c>
      <c r="L11" s="41">
        <f>D47</f>
        <v>-0.19749999999999979</v>
      </c>
      <c r="M11" s="152">
        <f>D72</f>
        <v>6.3577250000000003</v>
      </c>
      <c r="N11" s="49" t="str">
        <f>E72</f>
        <v xml:space="preserve">     NA</v>
      </c>
      <c r="O11" s="40"/>
      <c r="P11" s="49" t="str">
        <f>I72</f>
        <v xml:space="preserve">    NA</v>
      </c>
      <c r="Q11" s="49">
        <f>J72</f>
        <v>-9.774999999999423E-3</v>
      </c>
      <c r="R11" s="40"/>
      <c r="S11" s="49">
        <f>L72</f>
        <v>-2.275000000000027E-3</v>
      </c>
      <c r="T11" s="40"/>
      <c r="U11" s="49">
        <f>N72</f>
        <v>6.3577250000000003</v>
      </c>
      <c r="V11" s="40"/>
      <c r="W11" s="153">
        <f>P72</f>
        <v>6.3577250000000003</v>
      </c>
    </row>
    <row r="12" spans="1:23" ht="15.6" customHeight="1" x14ac:dyDescent="0.3">
      <c r="A12" s="215" t="s">
        <v>82</v>
      </c>
      <c r="B12" s="3">
        <v>0</v>
      </c>
      <c r="C12" s="28"/>
      <c r="D12" s="28"/>
      <c r="E12" s="28"/>
      <c r="F12" s="166"/>
      <c r="G12" s="1"/>
      <c r="H12" s="28"/>
      <c r="I12" s="164"/>
      <c r="J12" s="62"/>
      <c r="K12" s="39"/>
      <c r="L12" s="39"/>
      <c r="M12" s="150"/>
      <c r="N12" s="40"/>
      <c r="O12" s="40"/>
      <c r="P12" s="40"/>
      <c r="Q12" s="40"/>
      <c r="R12" s="40"/>
      <c r="S12" s="40"/>
      <c r="T12" s="40"/>
      <c r="U12" s="40"/>
      <c r="V12" s="40"/>
      <c r="W12" s="151"/>
    </row>
    <row r="13" spans="1:23" ht="15.6" customHeight="1" x14ac:dyDescent="0.3">
      <c r="A13" s="215" t="s">
        <v>10</v>
      </c>
      <c r="B13" s="5">
        <f>6.4375</f>
        <v>6.4375</v>
      </c>
      <c r="C13" s="216">
        <f>C14</f>
        <v>44696</v>
      </c>
      <c r="D13" s="253">
        <f>B13-B14</f>
        <v>-0.12000000000000011</v>
      </c>
      <c r="E13" s="92" t="s">
        <v>187</v>
      </c>
      <c r="F13" s="166"/>
      <c r="G13" s="1"/>
      <c r="H13" s="28"/>
      <c r="I13" s="164"/>
      <c r="J13" s="62"/>
      <c r="K13" s="39"/>
      <c r="L13" s="54" t="str">
        <f>B73</f>
        <v xml:space="preserve">  Forward Contract</v>
      </c>
      <c r="M13" s="152">
        <f>D73</f>
        <v>6.3674999999999997</v>
      </c>
      <c r="N13" s="49">
        <f>E73</f>
        <v>6.3674999999999997</v>
      </c>
      <c r="O13" s="40"/>
      <c r="P13" s="49">
        <f>I73</f>
        <v>0</v>
      </c>
      <c r="Q13" s="49">
        <f>J73</f>
        <v>0</v>
      </c>
      <c r="R13" s="40"/>
      <c r="S13" s="49">
        <f>L73</f>
        <v>7.499999999999396E-3</v>
      </c>
      <c r="T13" s="40"/>
      <c r="U13" s="49">
        <f>N73</f>
        <v>6.3674999999999997</v>
      </c>
      <c r="V13" s="40"/>
      <c r="W13" s="153">
        <f>P73</f>
        <v>6.3674999999999997</v>
      </c>
    </row>
    <row r="14" spans="1:23" ht="15.6" customHeight="1" x14ac:dyDescent="0.3">
      <c r="A14" s="215" t="s">
        <v>11</v>
      </c>
      <c r="B14" s="5">
        <v>6.5575000000000001</v>
      </c>
      <c r="C14" s="216">
        <f>B6</f>
        <v>44696</v>
      </c>
      <c r="D14" s="28"/>
      <c r="E14" s="28"/>
      <c r="F14" s="166"/>
      <c r="G14" s="1"/>
      <c r="H14" s="28"/>
      <c r="I14" s="164"/>
      <c r="J14" s="62"/>
      <c r="K14" s="39"/>
      <c r="L14" s="39"/>
      <c r="M14" s="150"/>
      <c r="N14" s="40"/>
      <c r="O14" s="40"/>
      <c r="P14" s="40"/>
      <c r="Q14" s="40"/>
      <c r="R14" s="40"/>
      <c r="S14" s="40"/>
      <c r="T14" s="40"/>
      <c r="U14" s="40"/>
      <c r="V14" s="40"/>
      <c r="W14" s="151"/>
    </row>
    <row r="15" spans="1:23" ht="15.6" x14ac:dyDescent="0.3">
      <c r="A15" s="215" t="s">
        <v>83</v>
      </c>
      <c r="B15" s="3">
        <f>B13-B14</f>
        <v>-0.12000000000000011</v>
      </c>
      <c r="C15" s="92" t="s">
        <v>13</v>
      </c>
      <c r="D15" s="28"/>
      <c r="E15" s="28"/>
      <c r="F15" s="166"/>
      <c r="G15" s="1"/>
      <c r="H15" s="28"/>
      <c r="I15" s="164"/>
      <c r="J15" s="62"/>
      <c r="K15" s="39"/>
      <c r="L15" s="54" t="str">
        <f>B74</f>
        <v xml:space="preserve">  Futures Hedge</v>
      </c>
      <c r="M15" s="152">
        <f>D74</f>
        <v>6.3475000000000001</v>
      </c>
      <c r="N15" s="49">
        <f>E74</f>
        <v>6.3475000000000001</v>
      </c>
      <c r="O15" s="40"/>
      <c r="P15" s="49">
        <f>I74</f>
        <v>0</v>
      </c>
      <c r="Q15" s="49">
        <f>J74</f>
        <v>-1.9999999999999574E-2</v>
      </c>
      <c r="R15" s="40"/>
      <c r="S15" s="49">
        <f>L74</f>
        <v>-1.2500000000000178E-2</v>
      </c>
      <c r="T15" s="40"/>
      <c r="U15" s="49">
        <f>N74</f>
        <v>6.3475000000000001</v>
      </c>
      <c r="V15" s="40"/>
      <c r="W15" s="153">
        <f>P74</f>
        <v>6.3475000000000001</v>
      </c>
    </row>
    <row r="16" spans="1:23" ht="15.6" x14ac:dyDescent="0.3">
      <c r="A16" s="215" t="s">
        <v>202</v>
      </c>
      <c r="B16" s="5">
        <v>0.02</v>
      </c>
      <c r="C16" s="28" t="s">
        <v>203</v>
      </c>
      <c r="D16" s="28"/>
      <c r="E16" s="28"/>
      <c r="F16" s="166"/>
      <c r="G16" s="1"/>
      <c r="H16" s="28"/>
      <c r="I16" s="164"/>
      <c r="J16" s="62"/>
      <c r="K16" s="39"/>
      <c r="L16" s="39"/>
      <c r="M16" s="150"/>
      <c r="N16" s="40"/>
      <c r="O16" s="40"/>
      <c r="P16" s="40"/>
      <c r="Q16" s="40"/>
      <c r="R16" s="40"/>
      <c r="S16" s="40"/>
      <c r="T16" s="40"/>
      <c r="U16" s="40"/>
      <c r="V16" s="40"/>
      <c r="W16" s="151"/>
    </row>
    <row r="17" spans="1:23" ht="15.6" x14ac:dyDescent="0.3">
      <c r="A17" s="215" t="s">
        <v>14</v>
      </c>
      <c r="B17" s="59">
        <f>ROUND(B14,1)</f>
        <v>6.6</v>
      </c>
      <c r="C17" s="216">
        <f>C14</f>
        <v>44696</v>
      </c>
      <c r="D17" s="28"/>
      <c r="E17" s="28"/>
      <c r="F17" s="166"/>
      <c r="G17" s="1"/>
      <c r="H17" s="28"/>
      <c r="I17" s="164"/>
      <c r="J17" s="62"/>
      <c r="K17" s="54" t="str">
        <f t="shared" ref="K17:O18" si="0">B75</f>
        <v xml:space="preserve">  Put Opt. @ Strike</v>
      </c>
      <c r="L17" s="55">
        <f t="shared" si="0"/>
        <v>6.3</v>
      </c>
      <c r="M17" s="152">
        <f t="shared" si="0"/>
        <v>6.1187500000000004</v>
      </c>
      <c r="N17" s="49">
        <f t="shared" si="0"/>
        <v>5.8612500000000001</v>
      </c>
      <c r="O17" s="158" t="str">
        <f t="shared" si="0"/>
        <v>min</v>
      </c>
      <c r="P17" s="49">
        <f>I75</f>
        <v>0.25750000000000028</v>
      </c>
      <c r="Q17" s="49">
        <f>J75</f>
        <v>-0.24874999999999936</v>
      </c>
      <c r="R17" s="40"/>
      <c r="S17" s="49">
        <f>L75</f>
        <v>-0.24124999999999996</v>
      </c>
      <c r="T17" s="40"/>
      <c r="U17" s="49">
        <f>N75</f>
        <v>6.1187500000000004</v>
      </c>
      <c r="V17" s="40"/>
      <c r="W17" s="153">
        <f>P75</f>
        <v>6.1187500000000004</v>
      </c>
    </row>
    <row r="18" spans="1:23" ht="15.6" x14ac:dyDescent="0.3">
      <c r="A18" s="215" t="s">
        <v>15</v>
      </c>
      <c r="B18" s="5">
        <v>0.36</v>
      </c>
      <c r="C18" s="217">
        <f>B17</f>
        <v>6.6</v>
      </c>
      <c r="D18" s="28" t="s">
        <v>16</v>
      </c>
      <c r="E18" s="28"/>
      <c r="F18" s="166"/>
      <c r="G18" s="1"/>
      <c r="H18" s="28"/>
      <c r="I18" s="164"/>
      <c r="J18" s="28"/>
      <c r="K18" s="54" t="str">
        <f t="shared" si="0"/>
        <v xml:space="preserve">  Put Opt. @ Strike</v>
      </c>
      <c r="L18" s="55">
        <f t="shared" si="0"/>
        <v>6.6</v>
      </c>
      <c r="M18" s="152">
        <f t="shared" si="0"/>
        <v>6.0299999999999994</v>
      </c>
      <c r="N18" s="49">
        <f t="shared" si="0"/>
        <v>6.0299999999999994</v>
      </c>
      <c r="O18" s="158" t="str">
        <f t="shared" si="0"/>
        <v>min</v>
      </c>
      <c r="P18" s="49">
        <f>I76</f>
        <v>0</v>
      </c>
      <c r="Q18" s="49">
        <f>J76</f>
        <v>-0.33750000000000036</v>
      </c>
      <c r="R18" s="40"/>
      <c r="S18" s="49">
        <f>L76</f>
        <v>-0.33000000000000096</v>
      </c>
      <c r="T18" s="40"/>
      <c r="U18" s="49">
        <f>N76</f>
        <v>6.0299999999999994</v>
      </c>
      <c r="V18" s="40"/>
      <c r="W18" s="153">
        <f>P76</f>
        <v>6.0299999999999994</v>
      </c>
    </row>
    <row r="19" spans="1:23" ht="15.6" x14ac:dyDescent="0.3">
      <c r="A19" s="215" t="s">
        <v>15</v>
      </c>
      <c r="B19" s="5">
        <f>(22+(7/8))/100</f>
        <v>0.22875000000000001</v>
      </c>
      <c r="C19" s="217">
        <f>B17-0.3</f>
        <v>6.3</v>
      </c>
      <c r="D19" s="28" t="s">
        <v>16</v>
      </c>
      <c r="E19" s="28"/>
      <c r="F19" s="166"/>
      <c r="G19" s="1"/>
      <c r="H19" s="28"/>
      <c r="I19" s="164"/>
      <c r="J19" s="28"/>
      <c r="K19" s="39"/>
      <c r="L19" s="39"/>
      <c r="M19" s="150"/>
      <c r="N19" s="40"/>
      <c r="O19" s="42"/>
      <c r="P19" s="40"/>
      <c r="Q19" s="40"/>
      <c r="R19" s="40"/>
      <c r="S19" s="40"/>
      <c r="T19" s="40"/>
      <c r="U19" s="40"/>
      <c r="V19" s="40"/>
      <c r="W19" s="151"/>
    </row>
    <row r="20" spans="1:23" ht="15.6" x14ac:dyDescent="0.3">
      <c r="A20" s="215" t="s">
        <v>17</v>
      </c>
      <c r="B20" s="5">
        <v>0.245</v>
      </c>
      <c r="C20" s="217">
        <f>B17+0.2</f>
        <v>6.8</v>
      </c>
      <c r="D20" s="28" t="s">
        <v>16</v>
      </c>
      <c r="E20" s="28"/>
      <c r="F20" s="166"/>
      <c r="G20" s="1"/>
      <c r="H20" s="28"/>
      <c r="I20" s="164"/>
      <c r="J20" s="28"/>
      <c r="K20" s="54" t="str">
        <f>B77</f>
        <v xml:space="preserve">  Forward Contract and </v>
      </c>
      <c r="L20" s="39"/>
      <c r="M20" s="150"/>
      <c r="N20" s="40"/>
      <c r="O20" s="42"/>
      <c r="P20" s="40"/>
      <c r="Q20" s="40"/>
      <c r="R20" s="40"/>
      <c r="S20" s="40"/>
      <c r="T20" s="40"/>
      <c r="U20" s="40"/>
      <c r="V20" s="40"/>
      <c r="W20" s="151"/>
    </row>
    <row r="21" spans="1:23" ht="15.6" x14ac:dyDescent="0.3">
      <c r="A21" s="215"/>
      <c r="B21" s="28" t="s">
        <v>2</v>
      </c>
      <c r="C21" s="28"/>
      <c r="D21" s="28"/>
      <c r="E21" s="28"/>
      <c r="F21" s="166"/>
      <c r="G21" s="1"/>
      <c r="H21" s="28"/>
      <c r="I21" s="164"/>
      <c r="J21" s="28"/>
      <c r="K21" s="54" t="str">
        <f>B78</f>
        <v xml:space="preserve">  Buy Call Opt @</v>
      </c>
      <c r="L21" s="55">
        <f>C78</f>
        <v>6.8</v>
      </c>
      <c r="M21" s="152">
        <f>D78</f>
        <v>6.1025</v>
      </c>
      <c r="N21" s="49">
        <f>E78</f>
        <v>6.1025</v>
      </c>
      <c r="O21" s="158" t="str">
        <f>F78</f>
        <v>min</v>
      </c>
      <c r="P21" s="49">
        <f>I78</f>
        <v>0</v>
      </c>
      <c r="Q21" s="49">
        <f>J78</f>
        <v>-0.26499999999999968</v>
      </c>
      <c r="R21" s="40"/>
      <c r="S21" s="49">
        <f>L78</f>
        <v>-0.25750000000000028</v>
      </c>
      <c r="T21" s="40"/>
      <c r="U21" s="49">
        <f>N78</f>
        <v>6.1025</v>
      </c>
      <c r="V21" s="40"/>
      <c r="W21" s="153">
        <f>P78</f>
        <v>6.1025</v>
      </c>
    </row>
    <row r="22" spans="1:23" ht="15.6" x14ac:dyDescent="0.3">
      <c r="A22" s="164"/>
      <c r="B22" s="218" t="s">
        <v>84</v>
      </c>
      <c r="C22" s="21"/>
      <c r="D22" s="28"/>
      <c r="E22" s="28"/>
      <c r="F22" s="166"/>
      <c r="G22" s="1"/>
      <c r="H22" s="28"/>
      <c r="I22" s="164"/>
      <c r="J22" s="28"/>
      <c r="K22" s="39"/>
      <c r="L22" s="39"/>
      <c r="M22" s="150"/>
      <c r="N22" s="40"/>
      <c r="O22" s="42"/>
      <c r="P22" s="40"/>
      <c r="Q22" s="40"/>
      <c r="R22" s="40"/>
      <c r="S22" s="40"/>
      <c r="T22" s="40"/>
      <c r="U22" s="40"/>
      <c r="V22" s="40"/>
      <c r="W22" s="151"/>
    </row>
    <row r="23" spans="1:23" ht="15.6" x14ac:dyDescent="0.3">
      <c r="A23" s="219" t="s">
        <v>19</v>
      </c>
      <c r="B23" s="5">
        <f>B24*1.1</f>
        <v>7.0812500000000007</v>
      </c>
      <c r="C23" s="28"/>
      <c r="D23" s="28"/>
      <c r="E23" s="28"/>
      <c r="F23" s="166"/>
      <c r="G23" s="1"/>
      <c r="H23" s="28"/>
      <c r="I23" s="164"/>
      <c r="J23" s="28"/>
      <c r="K23" s="54" t="str">
        <f>B79</f>
        <v>Cash and Buy Call @</v>
      </c>
      <c r="L23" s="55">
        <f>C79</f>
        <v>6.8</v>
      </c>
      <c r="M23" s="152">
        <f>D79</f>
        <v>6.0950000000000006</v>
      </c>
      <c r="N23" s="49">
        <f>E79</f>
        <v>6.0950000000000006</v>
      </c>
      <c r="O23" s="42"/>
      <c r="P23" s="49">
        <f>I79</f>
        <v>0</v>
      </c>
      <c r="Q23" s="49">
        <f>J79</f>
        <v>-0.27249999999999908</v>
      </c>
      <c r="R23" s="40"/>
      <c r="S23" s="49">
        <f>L79</f>
        <v>-0.26499999999999968</v>
      </c>
      <c r="T23" s="40"/>
      <c r="U23" s="49">
        <f>N79</f>
        <v>6.0950000000000006</v>
      </c>
      <c r="V23" s="40"/>
      <c r="W23" s="153">
        <f>P79</f>
        <v>6.0950000000000006</v>
      </c>
    </row>
    <row r="24" spans="1:23" ht="15.6" x14ac:dyDescent="0.3">
      <c r="A24" s="219" t="s">
        <v>20</v>
      </c>
      <c r="B24" s="5">
        <f>B13</f>
        <v>6.4375</v>
      </c>
      <c r="C24" s="28"/>
      <c r="D24" s="28"/>
      <c r="E24" s="28"/>
      <c r="F24" s="166"/>
      <c r="G24" s="1"/>
      <c r="H24" s="28"/>
      <c r="I24" s="164"/>
      <c r="J24" s="28"/>
      <c r="K24" s="39"/>
      <c r="L24" s="39"/>
      <c r="M24" s="150"/>
      <c r="N24" s="40"/>
      <c r="O24" s="42"/>
      <c r="P24" s="40"/>
      <c r="Q24" s="40"/>
      <c r="R24" s="40"/>
      <c r="S24" s="40"/>
      <c r="T24" s="40"/>
      <c r="U24" s="40"/>
      <c r="V24" s="40"/>
      <c r="W24" s="151"/>
    </row>
    <row r="25" spans="1:23" ht="16.2" thickBot="1" x14ac:dyDescent="0.35">
      <c r="A25" s="220" t="s">
        <v>21</v>
      </c>
      <c r="B25" s="223">
        <f>B24*0.9</f>
        <v>5.7937500000000002</v>
      </c>
      <c r="C25" s="171"/>
      <c r="D25" s="171"/>
      <c r="E25" s="171"/>
      <c r="F25" s="222"/>
      <c r="G25" s="1"/>
      <c r="H25" s="28"/>
      <c r="I25" s="164"/>
      <c r="J25" s="28"/>
      <c r="K25" s="54" t="str">
        <f>B80</f>
        <v xml:space="preserve">  Min/Max Fence-Buy Put @</v>
      </c>
      <c r="L25" s="55">
        <f>C80</f>
        <v>6.3</v>
      </c>
      <c r="M25" s="150"/>
      <c r="N25" s="40"/>
      <c r="O25" s="42"/>
      <c r="P25" s="40"/>
      <c r="Q25" s="40"/>
      <c r="R25" s="40"/>
      <c r="S25" s="40"/>
      <c r="T25" s="40"/>
      <c r="U25" s="40"/>
      <c r="V25" s="40"/>
      <c r="W25" s="151"/>
    </row>
    <row r="26" spans="1:23" ht="15.6" x14ac:dyDescent="0.3">
      <c r="A26" s="7"/>
      <c r="B26" s="7"/>
      <c r="C26" s="1"/>
      <c r="D26" s="1"/>
      <c r="E26" s="1"/>
      <c r="F26" s="1"/>
      <c r="G26" s="1"/>
      <c r="H26" s="28"/>
      <c r="I26" s="164"/>
      <c r="J26" s="28"/>
      <c r="K26" s="54" t="str">
        <f>B81</f>
        <v xml:space="preserve">  &amp; Write Call @</v>
      </c>
      <c r="L26" s="55">
        <f>C81</f>
        <v>6.8</v>
      </c>
      <c r="M26" s="152">
        <f>D81</f>
        <v>6.34375</v>
      </c>
      <c r="N26" s="49">
        <f>E81</f>
        <v>6.0862499999999997</v>
      </c>
      <c r="O26" s="158" t="str">
        <f>F81</f>
        <v>min</v>
      </c>
      <c r="P26" s="49">
        <f>I81</f>
        <v>0.25750000000000028</v>
      </c>
      <c r="Q26" s="49">
        <f>J81</f>
        <v>-2.3749999999999716E-2</v>
      </c>
      <c r="R26" s="40"/>
      <c r="S26" s="49">
        <f>L81</f>
        <v>-1.625000000000032E-2</v>
      </c>
      <c r="T26" s="40"/>
      <c r="U26" s="49">
        <f>N81</f>
        <v>6.34375</v>
      </c>
      <c r="V26" s="40"/>
      <c r="W26" s="153">
        <f>P81</f>
        <v>6.34375</v>
      </c>
    </row>
    <row r="27" spans="1:23" ht="16.2" thickBot="1" x14ac:dyDescent="0.35">
      <c r="A27" s="7"/>
      <c r="B27" s="7"/>
      <c r="C27" s="1"/>
      <c r="D27" s="1"/>
      <c r="E27" s="1"/>
      <c r="F27" s="1"/>
      <c r="G27" s="1"/>
      <c r="H27" s="28"/>
      <c r="I27" s="170"/>
      <c r="J27" s="171"/>
      <c r="K27" s="172"/>
      <c r="L27" s="156"/>
      <c r="M27" s="154"/>
      <c r="N27" s="155">
        <f>E82</f>
        <v>6.5862499999999997</v>
      </c>
      <c r="O27" s="159" t="str">
        <f>F82</f>
        <v>max</v>
      </c>
      <c r="P27" s="155">
        <f>I82</f>
        <v>-0.24249999999999972</v>
      </c>
      <c r="Q27" s="155"/>
      <c r="R27" s="156"/>
      <c r="S27" s="155"/>
      <c r="T27" s="156"/>
      <c r="U27" s="155"/>
      <c r="V27" s="156"/>
      <c r="W27" s="157"/>
    </row>
    <row r="28" spans="1:23" ht="15.6" x14ac:dyDescent="0.3">
      <c r="A28" s="7"/>
      <c r="B28" s="7"/>
      <c r="C28" s="1"/>
      <c r="D28" s="1"/>
      <c r="E28" s="1"/>
      <c r="F28" s="1"/>
      <c r="G28" s="1"/>
      <c r="H28" s="28"/>
      <c r="I28" s="28"/>
      <c r="J28" s="28"/>
      <c r="K28" s="62"/>
      <c r="L28" s="39"/>
      <c r="M28" s="263"/>
      <c r="N28" s="49"/>
      <c r="O28" s="158"/>
      <c r="P28" s="49"/>
      <c r="Q28" s="49"/>
      <c r="R28" s="40"/>
      <c r="S28" s="49"/>
      <c r="T28" s="40"/>
      <c r="U28" s="49"/>
      <c r="V28" s="40"/>
      <c r="W28" s="49"/>
    </row>
    <row r="29" spans="1:23" ht="15.6" x14ac:dyDescent="0.3">
      <c r="A29" s="7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3" ht="15.6" x14ac:dyDescent="0.3">
      <c r="A30" s="7"/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3" ht="15.6" x14ac:dyDescent="0.3">
      <c r="A31" s="7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3" ht="15.6" x14ac:dyDescent="0.3">
      <c r="A32" s="7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6" x14ac:dyDescent="0.3">
      <c r="A33" s="7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6" x14ac:dyDescent="0.3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 t="s">
        <v>184</v>
      </c>
      <c r="U35" s="1"/>
      <c r="V35" s="1"/>
    </row>
    <row r="36" spans="1:22" x14ac:dyDescent="0.25">
      <c r="A36" s="83" t="s">
        <v>85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84" t="s">
        <v>28</v>
      </c>
      <c r="O36" s="85"/>
      <c r="P36" s="86"/>
      <c r="Q36" s="84" t="s">
        <v>86</v>
      </c>
      <c r="R36" s="85"/>
      <c r="S36" s="86"/>
      <c r="T36" s="87" t="s">
        <v>186</v>
      </c>
      <c r="U36" s="85"/>
      <c r="V36" s="86"/>
    </row>
    <row r="37" spans="1:22" x14ac:dyDescent="0.25">
      <c r="A37" s="88"/>
      <c r="B37" s="89" t="s">
        <v>24</v>
      </c>
      <c r="C37" s="85"/>
      <c r="D37" s="86"/>
      <c r="E37" s="90" t="s">
        <v>26</v>
      </c>
      <c r="F37" s="85"/>
      <c r="G37" s="85"/>
      <c r="H37" s="85"/>
      <c r="I37" s="86"/>
      <c r="J37" s="90" t="s">
        <v>27</v>
      </c>
      <c r="K37" s="85"/>
      <c r="L37" s="85"/>
      <c r="M37" s="85"/>
      <c r="N37" s="91" t="s">
        <v>30</v>
      </c>
      <c r="O37" s="92"/>
      <c r="P37" s="93"/>
      <c r="Q37" s="91" t="s">
        <v>88</v>
      </c>
      <c r="R37" s="88"/>
      <c r="S37" s="93"/>
      <c r="T37" s="94" t="s">
        <v>89</v>
      </c>
      <c r="U37" s="88"/>
      <c r="V37" s="95"/>
    </row>
    <row r="38" spans="1:22" x14ac:dyDescent="0.25">
      <c r="A38" s="74"/>
      <c r="B38" s="96" t="s">
        <v>90</v>
      </c>
      <c r="C38" s="92"/>
      <c r="D38" s="97">
        <f>B11</f>
        <v>6.36</v>
      </c>
      <c r="E38" s="98">
        <f>B6</f>
        <v>44696</v>
      </c>
      <c r="F38" s="92" t="s">
        <v>3</v>
      </c>
      <c r="G38" s="92"/>
      <c r="H38" s="92"/>
      <c r="I38" s="99">
        <f>B14</f>
        <v>6.5575000000000001</v>
      </c>
      <c r="J38" s="98">
        <f>E38</f>
        <v>44696</v>
      </c>
      <c r="K38" s="92" t="s">
        <v>34</v>
      </c>
      <c r="L38" s="100">
        <f>C19</f>
        <v>6.3</v>
      </c>
      <c r="M38" s="100">
        <f>C18</f>
        <v>6.6</v>
      </c>
      <c r="N38" s="98">
        <f>E38</f>
        <v>44696</v>
      </c>
      <c r="O38" s="92"/>
      <c r="P38" s="93"/>
      <c r="Q38" s="81" t="s">
        <v>91</v>
      </c>
      <c r="R38" s="92"/>
      <c r="S38" s="254">
        <f>D38</f>
        <v>6.36</v>
      </c>
      <c r="T38" s="96" t="s">
        <v>35</v>
      </c>
      <c r="U38" s="101"/>
      <c r="V38" s="99">
        <f>L38</f>
        <v>6.3</v>
      </c>
    </row>
    <row r="39" spans="1:22" x14ac:dyDescent="0.25">
      <c r="A39" s="74"/>
      <c r="B39" s="96" t="s">
        <v>92</v>
      </c>
      <c r="C39" s="92"/>
      <c r="D39" s="102">
        <f>B12</f>
        <v>0</v>
      </c>
      <c r="E39" s="103">
        <f>(B6-B5)/30</f>
        <v>2.6</v>
      </c>
      <c r="F39" s="92" t="s">
        <v>93</v>
      </c>
      <c r="G39" s="92"/>
      <c r="H39" s="92"/>
      <c r="I39" s="99"/>
      <c r="J39" s="81"/>
      <c r="K39" s="92"/>
      <c r="L39" s="100"/>
      <c r="M39" s="100"/>
      <c r="N39" s="81" t="s">
        <v>94</v>
      </c>
      <c r="O39" s="92"/>
      <c r="P39" s="99">
        <f>C20</f>
        <v>6.8</v>
      </c>
      <c r="Q39" s="81" t="s">
        <v>94</v>
      </c>
      <c r="R39" s="101"/>
      <c r="S39" s="99">
        <f>V39</f>
        <v>6.8</v>
      </c>
      <c r="T39" s="96" t="s">
        <v>94</v>
      </c>
      <c r="U39" s="101"/>
      <c r="V39" s="99">
        <f>P39</f>
        <v>6.8</v>
      </c>
    </row>
    <row r="40" spans="1:22" x14ac:dyDescent="0.25">
      <c r="A40" s="74" t="s">
        <v>95</v>
      </c>
      <c r="B40" s="96" t="s">
        <v>96</v>
      </c>
      <c r="C40" s="92"/>
      <c r="D40" s="97">
        <f>B13</f>
        <v>6.4375</v>
      </c>
      <c r="E40" s="81" t="s">
        <v>97</v>
      </c>
      <c r="F40" s="92"/>
      <c r="G40" s="92"/>
      <c r="H40" s="92"/>
      <c r="I40" s="99"/>
      <c r="J40" s="81" t="s">
        <v>97</v>
      </c>
      <c r="K40" s="92"/>
      <c r="L40" s="100"/>
      <c r="M40" s="100"/>
      <c r="N40" s="81" t="s">
        <v>98</v>
      </c>
      <c r="O40" s="92"/>
      <c r="P40" s="254">
        <f>D40</f>
        <v>6.4375</v>
      </c>
      <c r="Q40" s="98">
        <f>T40</f>
        <v>44696</v>
      </c>
      <c r="R40" s="92"/>
      <c r="S40" s="99"/>
      <c r="T40" s="98">
        <f>E38</f>
        <v>44696</v>
      </c>
      <c r="U40" s="101"/>
      <c r="V40" s="99"/>
    </row>
    <row r="41" spans="1:22" x14ac:dyDescent="0.25">
      <c r="A41" s="104">
        <f>B9</f>
        <v>3.5000000000000003E-2</v>
      </c>
      <c r="B41" s="96" t="s">
        <v>99</v>
      </c>
      <c r="C41" s="92"/>
      <c r="D41" s="99">
        <f>ROUND((A41*E39/12*D38)+A43+(A45*E39),2)</f>
        <v>7.0000000000000007E-2</v>
      </c>
      <c r="E41" s="81" t="s">
        <v>77</v>
      </c>
      <c r="F41" s="92"/>
      <c r="G41" s="92"/>
      <c r="H41" s="92"/>
      <c r="I41" s="99">
        <f>B15</f>
        <v>-0.12000000000000011</v>
      </c>
      <c r="J41" s="81" t="s">
        <v>100</v>
      </c>
      <c r="K41" s="92"/>
      <c r="L41" s="100">
        <f>B19</f>
        <v>0.22875000000000001</v>
      </c>
      <c r="M41" s="100">
        <f>B18</f>
        <v>0.36</v>
      </c>
      <c r="N41" s="81" t="s">
        <v>97</v>
      </c>
      <c r="O41" s="92"/>
      <c r="P41" s="99"/>
      <c r="Q41" s="81" t="s">
        <v>97</v>
      </c>
      <c r="R41" s="92"/>
      <c r="S41" s="99"/>
      <c r="T41" s="96" t="s">
        <v>97</v>
      </c>
      <c r="U41" s="92"/>
      <c r="V41" s="99"/>
    </row>
    <row r="42" spans="1:22" x14ac:dyDescent="0.25">
      <c r="A42" s="74" t="s">
        <v>101</v>
      </c>
      <c r="B42" s="96" t="s">
        <v>102</v>
      </c>
      <c r="C42" s="92"/>
      <c r="D42" s="99">
        <f>D40-D41</f>
        <v>6.3674999999999997</v>
      </c>
      <c r="E42" s="81" t="s">
        <v>103</v>
      </c>
      <c r="F42" s="92"/>
      <c r="G42" s="92"/>
      <c r="H42" s="92"/>
      <c r="I42" s="99">
        <f>D41</f>
        <v>7.0000000000000007E-2</v>
      </c>
      <c r="J42" s="81" t="s">
        <v>43</v>
      </c>
      <c r="K42" s="92"/>
      <c r="L42" s="100">
        <f>I41</f>
        <v>-0.12000000000000011</v>
      </c>
      <c r="M42" s="100">
        <f>I41</f>
        <v>-0.12000000000000011</v>
      </c>
      <c r="N42" s="81" t="s">
        <v>104</v>
      </c>
      <c r="O42" s="92"/>
      <c r="P42" s="254">
        <f>B20</f>
        <v>0.245</v>
      </c>
      <c r="Q42" s="81" t="s">
        <v>44</v>
      </c>
      <c r="R42" s="101"/>
      <c r="S42" s="254">
        <f>V43</f>
        <v>0.245</v>
      </c>
      <c r="T42" s="96" t="s">
        <v>40</v>
      </c>
      <c r="U42" s="101"/>
      <c r="V42" s="99">
        <f>L41</f>
        <v>0.22875000000000001</v>
      </c>
    </row>
    <row r="43" spans="1:22" x14ac:dyDescent="0.25">
      <c r="A43" s="105">
        <f>B7</f>
        <v>0</v>
      </c>
      <c r="B43" s="106"/>
      <c r="C43" s="92"/>
      <c r="D43" s="99"/>
      <c r="E43" s="81" t="s">
        <v>105</v>
      </c>
      <c r="F43" s="92"/>
      <c r="G43" s="92"/>
      <c r="H43" s="92"/>
      <c r="I43" s="99">
        <f>ROUND(B16,2)</f>
        <v>0.02</v>
      </c>
      <c r="J43" s="81" t="s">
        <v>103</v>
      </c>
      <c r="K43" s="92"/>
      <c r="L43" s="100">
        <f>D41</f>
        <v>7.0000000000000007E-2</v>
      </c>
      <c r="M43" s="100">
        <f>D41</f>
        <v>7.0000000000000007E-2</v>
      </c>
      <c r="N43" s="81" t="s">
        <v>103</v>
      </c>
      <c r="O43" s="92"/>
      <c r="P43" s="254">
        <f>D41</f>
        <v>7.0000000000000007E-2</v>
      </c>
      <c r="Q43" s="81" t="s">
        <v>106</v>
      </c>
      <c r="R43" s="101"/>
      <c r="S43" s="255">
        <v>0</v>
      </c>
      <c r="T43" s="96" t="s">
        <v>44</v>
      </c>
      <c r="U43" s="101"/>
      <c r="V43" s="99">
        <f>P42</f>
        <v>0.245</v>
      </c>
    </row>
    <row r="44" spans="1:22" x14ac:dyDescent="0.25">
      <c r="A44" s="74" t="s">
        <v>107</v>
      </c>
      <c r="B44" s="96" t="s">
        <v>108</v>
      </c>
      <c r="C44" s="92"/>
      <c r="D44" s="99">
        <v>1.9</v>
      </c>
      <c r="E44" s="81" t="s">
        <v>109</v>
      </c>
      <c r="F44" s="92"/>
      <c r="G44" s="92"/>
      <c r="H44" s="92"/>
      <c r="I44" s="99">
        <f>I38+I41-I43-I42</f>
        <v>6.3475000000000001</v>
      </c>
      <c r="J44" s="81" t="s">
        <v>105</v>
      </c>
      <c r="K44" s="92"/>
      <c r="L44" s="100">
        <f>I43</f>
        <v>0.02</v>
      </c>
      <c r="M44" s="100">
        <f>I43</f>
        <v>0.02</v>
      </c>
      <c r="N44" s="81" t="s">
        <v>105</v>
      </c>
      <c r="O44" s="92"/>
      <c r="P44" s="254">
        <f>I43</f>
        <v>0.02</v>
      </c>
      <c r="Q44" s="81" t="s">
        <v>105</v>
      </c>
      <c r="R44" s="101"/>
      <c r="S44" s="256">
        <f>I43</f>
        <v>0.02</v>
      </c>
      <c r="T44" s="96" t="s">
        <v>106</v>
      </c>
      <c r="U44" s="101"/>
      <c r="V44" s="107">
        <f>D41</f>
        <v>7.0000000000000007E-2</v>
      </c>
    </row>
    <row r="45" spans="1:22" x14ac:dyDescent="0.25">
      <c r="A45" s="105">
        <f>B8</f>
        <v>0.01</v>
      </c>
      <c r="B45" s="106" t="s">
        <v>110</v>
      </c>
      <c r="C45" s="92"/>
      <c r="D45" s="99">
        <f>D38+D39</f>
        <v>6.36</v>
      </c>
      <c r="E45" s="81" t="s">
        <v>111</v>
      </c>
      <c r="F45" s="92"/>
      <c r="G45" s="92"/>
      <c r="H45" s="92"/>
      <c r="I45" s="99">
        <f>D39</f>
        <v>0</v>
      </c>
      <c r="J45" s="81" t="s">
        <v>49</v>
      </c>
      <c r="K45" s="92"/>
      <c r="L45" s="100"/>
      <c r="M45" s="100"/>
      <c r="N45" s="81" t="s">
        <v>112</v>
      </c>
      <c r="O45" s="92"/>
      <c r="P45" s="99"/>
      <c r="Q45" s="81" t="s">
        <v>112</v>
      </c>
      <c r="R45" s="101"/>
      <c r="S45" s="99"/>
      <c r="T45" s="96" t="s">
        <v>43</v>
      </c>
      <c r="U45" s="101"/>
      <c r="V45" s="107">
        <f>I41</f>
        <v>-0.12000000000000011</v>
      </c>
    </row>
    <row r="46" spans="1:22" x14ac:dyDescent="0.25">
      <c r="A46" s="74"/>
      <c r="B46" s="96" t="s">
        <v>113</v>
      </c>
      <c r="C46" s="92"/>
      <c r="D46" s="99"/>
      <c r="E46" s="81" t="s">
        <v>114</v>
      </c>
      <c r="F46" s="92"/>
      <c r="G46" s="92"/>
      <c r="H46" s="92"/>
      <c r="I46" s="99">
        <f>SUM(I44:I45)</f>
        <v>6.3475000000000001</v>
      </c>
      <c r="J46" s="81" t="s">
        <v>52</v>
      </c>
      <c r="K46" s="92"/>
      <c r="L46" s="100"/>
      <c r="M46" s="100"/>
      <c r="N46" s="81" t="s">
        <v>52</v>
      </c>
      <c r="O46" s="92"/>
      <c r="P46" s="99"/>
      <c r="Q46" s="81" t="s">
        <v>52</v>
      </c>
      <c r="R46" s="101"/>
      <c r="S46" s="99"/>
      <c r="T46" s="96" t="s">
        <v>48</v>
      </c>
      <c r="U46" s="101"/>
      <c r="V46" s="107">
        <f>I43*2</f>
        <v>0.04</v>
      </c>
    </row>
    <row r="47" spans="1:22" x14ac:dyDescent="0.25">
      <c r="A47" s="74"/>
      <c r="B47" s="96" t="s">
        <v>115</v>
      </c>
      <c r="C47" s="108">
        <f>E38</f>
        <v>44696</v>
      </c>
      <c r="D47" s="99">
        <f>D38-I38</f>
        <v>-0.19749999999999979</v>
      </c>
      <c r="E47" s="81"/>
      <c r="F47" s="92"/>
      <c r="G47" s="92"/>
      <c r="H47" s="92"/>
      <c r="I47" s="93"/>
      <c r="J47" s="81" t="s">
        <v>116</v>
      </c>
      <c r="K47" s="92"/>
      <c r="L47" s="100">
        <f>L38-L41+L42-L44-L43</f>
        <v>5.8612500000000001</v>
      </c>
      <c r="M47" s="100">
        <f>M38-M41+M42-M44-M43</f>
        <v>6.0299999999999994</v>
      </c>
      <c r="N47" s="81" t="s">
        <v>47</v>
      </c>
      <c r="O47" s="92"/>
      <c r="P47" s="254">
        <f>P40-P42-P44-P43</f>
        <v>6.1025</v>
      </c>
      <c r="Q47" s="81" t="s">
        <v>47</v>
      </c>
      <c r="R47" s="101"/>
      <c r="S47" s="256">
        <f>S38-S42-S44-S43</f>
        <v>6.0950000000000006</v>
      </c>
      <c r="T47" s="96" t="s">
        <v>51</v>
      </c>
      <c r="U47" s="101"/>
      <c r="V47" s="107"/>
    </row>
    <row r="48" spans="1:22" x14ac:dyDescent="0.25">
      <c r="A48" s="109"/>
      <c r="B48" s="106"/>
      <c r="C48" s="92"/>
      <c r="D48" s="93"/>
      <c r="E48" s="81"/>
      <c r="F48" s="92"/>
      <c r="G48" s="92"/>
      <c r="H48" s="92"/>
      <c r="I48" s="93"/>
      <c r="J48" s="81" t="s">
        <v>111</v>
      </c>
      <c r="K48" s="92"/>
      <c r="L48" s="100">
        <f>I45</f>
        <v>0</v>
      </c>
      <c r="M48" s="100">
        <f>L48</f>
        <v>0</v>
      </c>
      <c r="N48" s="81" t="s">
        <v>111</v>
      </c>
      <c r="O48" s="92"/>
      <c r="P48" s="99">
        <f>M48</f>
        <v>0</v>
      </c>
      <c r="Q48" s="81" t="s">
        <v>111</v>
      </c>
      <c r="R48" s="101"/>
      <c r="S48" s="110">
        <f>P48</f>
        <v>0</v>
      </c>
      <c r="T48" s="96" t="s">
        <v>53</v>
      </c>
      <c r="U48" s="101"/>
      <c r="V48" s="107">
        <f>V38-V42+V43+V45-V46-V44</f>
        <v>6.0862499999999997</v>
      </c>
    </row>
    <row r="49" spans="1:26" x14ac:dyDescent="0.25">
      <c r="A49" s="109"/>
      <c r="B49" s="96" t="s">
        <v>117</v>
      </c>
      <c r="C49" s="92"/>
      <c r="D49" s="93"/>
      <c r="E49" s="81"/>
      <c r="F49" s="92"/>
      <c r="G49" s="92"/>
      <c r="H49" s="92"/>
      <c r="I49" s="93"/>
      <c r="J49" s="81" t="s">
        <v>118</v>
      </c>
      <c r="K49" s="92"/>
      <c r="L49" s="100">
        <f>SUM(L47:L48)</f>
        <v>5.8612500000000001</v>
      </c>
      <c r="M49" s="100">
        <f>SUM(M47:M48)</f>
        <v>6.0299999999999994</v>
      </c>
      <c r="N49" s="81" t="s">
        <v>118</v>
      </c>
      <c r="O49" s="92"/>
      <c r="P49" s="254">
        <f>SUM(P47:P48)</f>
        <v>6.1025</v>
      </c>
      <c r="Q49" s="81" t="s">
        <v>118</v>
      </c>
      <c r="R49" s="92"/>
      <c r="S49" s="256">
        <f>SUM(S47:S48)</f>
        <v>6.0950000000000006</v>
      </c>
      <c r="T49" s="96" t="s">
        <v>55</v>
      </c>
      <c r="U49" s="101"/>
      <c r="V49" s="107">
        <f>V39-V42+V43+V45-V46-V44</f>
        <v>6.5862499999999997</v>
      </c>
    </row>
    <row r="50" spans="1:26" x14ac:dyDescent="0.25">
      <c r="A50" s="109"/>
      <c r="B50" s="96" t="s">
        <v>19</v>
      </c>
      <c r="C50" s="92"/>
      <c r="D50" s="111">
        <f>B23</f>
        <v>7.0812500000000007</v>
      </c>
      <c r="E50" s="81"/>
      <c r="F50" s="92"/>
      <c r="G50" s="92"/>
      <c r="H50" s="92"/>
      <c r="I50" s="93"/>
      <c r="J50" s="81"/>
      <c r="K50" s="92"/>
      <c r="L50" s="92"/>
      <c r="M50" s="92"/>
      <c r="N50" s="81"/>
      <c r="O50" s="92"/>
      <c r="P50" s="93"/>
      <c r="Q50" s="81"/>
      <c r="R50" s="92"/>
      <c r="S50" s="93"/>
      <c r="T50" s="81"/>
      <c r="U50" s="92"/>
      <c r="V50" s="99"/>
    </row>
    <row r="51" spans="1:26" x14ac:dyDescent="0.25">
      <c r="A51" s="109"/>
      <c r="B51" s="96" t="s">
        <v>20</v>
      </c>
      <c r="C51" s="92"/>
      <c r="D51" s="111">
        <f>B24</f>
        <v>6.4375</v>
      </c>
      <c r="E51" s="81"/>
      <c r="F51" s="92"/>
      <c r="G51" s="92"/>
      <c r="H51" s="92"/>
      <c r="I51" s="93"/>
      <c r="J51" s="81"/>
      <c r="K51" s="92"/>
      <c r="L51" s="92"/>
      <c r="M51" s="92"/>
      <c r="N51" s="81"/>
      <c r="O51" s="92"/>
      <c r="P51" s="93"/>
      <c r="Q51" s="81"/>
      <c r="R51" s="92"/>
      <c r="S51" s="93"/>
      <c r="T51" s="96" t="s">
        <v>119</v>
      </c>
      <c r="U51" s="92"/>
      <c r="V51" s="99">
        <f>V48+P48</f>
        <v>6.0862499999999997</v>
      </c>
    </row>
    <row r="52" spans="1:26" x14ac:dyDescent="0.25">
      <c r="A52" s="109"/>
      <c r="B52" s="112" t="s">
        <v>21</v>
      </c>
      <c r="C52" s="113"/>
      <c r="D52" s="114">
        <f>B25</f>
        <v>5.7937500000000002</v>
      </c>
      <c r="E52" s="82"/>
      <c r="F52" s="113"/>
      <c r="G52" s="113"/>
      <c r="H52" s="113"/>
      <c r="I52" s="115"/>
      <c r="J52" s="82"/>
      <c r="K52" s="113"/>
      <c r="L52" s="113"/>
      <c r="M52" s="113"/>
      <c r="N52" s="82"/>
      <c r="O52" s="113"/>
      <c r="P52" s="115"/>
      <c r="Q52" s="82"/>
      <c r="R52" s="113"/>
      <c r="S52" s="115"/>
      <c r="T52" s="112" t="s">
        <v>120</v>
      </c>
      <c r="U52" s="113"/>
      <c r="V52" s="116">
        <f>V49+P48</f>
        <v>6.5862499999999997</v>
      </c>
    </row>
    <row r="53" spans="1:26" x14ac:dyDescent="0.25">
      <c r="A53" s="74"/>
      <c r="B53" s="117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117"/>
      <c r="U53" s="117"/>
      <c r="V53" s="117"/>
    </row>
    <row r="54" spans="1:26" x14ac:dyDescent="0.25">
      <c r="A54" s="118" t="s">
        <v>23</v>
      </c>
      <c r="B54" s="119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119"/>
      <c r="U54" s="117"/>
      <c r="V54" s="117"/>
      <c r="W54" s="74"/>
      <c r="X54" s="74"/>
      <c r="Y54" s="74"/>
    </row>
    <row r="55" spans="1:26" x14ac:dyDescent="0.25">
      <c r="A55" s="120">
        <f>E38</f>
        <v>44696</v>
      </c>
      <c r="B55" s="119" t="s">
        <v>56</v>
      </c>
      <c r="C55" s="74"/>
      <c r="D55" s="121">
        <f>D66</f>
        <v>6.4375</v>
      </c>
      <c r="E55" s="74" t="s">
        <v>57</v>
      </c>
      <c r="F55" s="74"/>
      <c r="G55" s="74"/>
      <c r="H55" s="74"/>
      <c r="I55" s="121">
        <f>D67</f>
        <v>6.5575000000000001</v>
      </c>
      <c r="J55" s="74" t="s">
        <v>39</v>
      </c>
      <c r="K55" s="74"/>
      <c r="L55" s="121">
        <f>IF(I55&lt;L38,L38-I55,0)</f>
        <v>0</v>
      </c>
      <c r="M55" s="121">
        <f>IF(I55&lt;M38,M38-I55,0)</f>
        <v>4.2499999999999538E-2</v>
      </c>
      <c r="N55" s="74" t="s">
        <v>39</v>
      </c>
      <c r="O55" s="74"/>
      <c r="P55" s="121">
        <f>IF(I55&gt;P39,I55-P39,0)</f>
        <v>0</v>
      </c>
      <c r="Q55" s="74" t="s">
        <v>121</v>
      </c>
      <c r="R55" s="74"/>
      <c r="S55" s="122">
        <f>IF(D67&gt;S39,D67-S39,0)</f>
        <v>0</v>
      </c>
      <c r="T55" s="119" t="s">
        <v>40</v>
      </c>
      <c r="U55" s="117"/>
      <c r="V55" s="122">
        <f>IF(I55&lt;V38,V38-I55,0)</f>
        <v>0</v>
      </c>
      <c r="W55" s="74"/>
      <c r="X55" s="74"/>
      <c r="Y55" s="74"/>
    </row>
    <row r="56" spans="1:26" x14ac:dyDescent="0.25">
      <c r="A56" s="117"/>
      <c r="B56" s="119" t="s">
        <v>122</v>
      </c>
      <c r="C56" s="74"/>
      <c r="D56" s="121">
        <f>D68</f>
        <v>7.0000000000000007E-2</v>
      </c>
      <c r="E56" s="74" t="s">
        <v>59</v>
      </c>
      <c r="F56" s="74"/>
      <c r="G56" s="74"/>
      <c r="H56" s="74"/>
      <c r="I56" s="121">
        <f>D55-I55</f>
        <v>-0.12000000000000011</v>
      </c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119" t="s">
        <v>60</v>
      </c>
      <c r="U56" s="117"/>
      <c r="V56" s="122">
        <f>IF(I55&gt;V39,I55-V39,0)</f>
        <v>0</v>
      </c>
      <c r="W56" s="74"/>
      <c r="X56" s="74"/>
      <c r="Y56" s="74"/>
    </row>
    <row r="57" spans="1:26" x14ac:dyDescent="0.25">
      <c r="A57" s="117"/>
      <c r="B57" s="119" t="s">
        <v>123</v>
      </c>
      <c r="C57" s="74"/>
      <c r="D57" s="121">
        <f>D55-D56</f>
        <v>6.3674999999999997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117"/>
      <c r="U57" s="117"/>
      <c r="V57" s="117"/>
      <c r="W57" s="74"/>
      <c r="X57" s="74"/>
      <c r="Y57" s="74"/>
    </row>
    <row r="58" spans="1:26" x14ac:dyDescent="0.25">
      <c r="A58" s="119"/>
      <c r="B58" s="119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119"/>
      <c r="U58" s="117"/>
      <c r="V58" s="117"/>
      <c r="W58" s="74"/>
      <c r="X58" s="74"/>
      <c r="Y58" s="74"/>
      <c r="Z58" s="74"/>
    </row>
    <row r="59" spans="1:26" x14ac:dyDescent="0.25">
      <c r="A59" s="117"/>
      <c r="B59" s="119" t="s">
        <v>124</v>
      </c>
      <c r="C59" s="74"/>
      <c r="D59" s="121"/>
      <c r="E59" s="74" t="s">
        <v>56</v>
      </c>
      <c r="F59" s="74"/>
      <c r="G59" s="74"/>
      <c r="H59" s="74"/>
      <c r="I59" s="123">
        <f>D55</f>
        <v>6.4375</v>
      </c>
      <c r="J59" s="74" t="s">
        <v>56</v>
      </c>
      <c r="K59" s="74"/>
      <c r="L59" s="121">
        <f>D55</f>
        <v>6.4375</v>
      </c>
      <c r="M59" s="121">
        <f>D55</f>
        <v>6.4375</v>
      </c>
      <c r="N59" s="74" t="s">
        <v>25</v>
      </c>
      <c r="O59" s="74"/>
      <c r="P59" s="121">
        <f>D40</f>
        <v>6.4375</v>
      </c>
      <c r="Q59" s="74" t="s">
        <v>56</v>
      </c>
      <c r="R59" s="117"/>
      <c r="S59" s="122">
        <f>S38</f>
        <v>6.36</v>
      </c>
      <c r="T59" s="119" t="s">
        <v>56</v>
      </c>
      <c r="U59" s="117"/>
      <c r="V59" s="122">
        <f>D55</f>
        <v>6.4375</v>
      </c>
      <c r="W59" s="119"/>
      <c r="X59" s="74"/>
      <c r="Y59" s="74"/>
      <c r="Z59" s="74"/>
    </row>
    <row r="60" spans="1:26" x14ac:dyDescent="0.25">
      <c r="A60" s="117"/>
      <c r="B60" s="119" t="s">
        <v>25</v>
      </c>
      <c r="C60" s="74"/>
      <c r="D60" s="121">
        <f>D40-D68</f>
        <v>6.3674999999999997</v>
      </c>
      <c r="E60" s="74" t="s">
        <v>125</v>
      </c>
      <c r="F60" s="74"/>
      <c r="G60" s="74"/>
      <c r="H60" s="74"/>
      <c r="I60" s="123">
        <f>I38-I55</f>
        <v>0</v>
      </c>
      <c r="J60" s="74" t="s">
        <v>126</v>
      </c>
      <c r="K60" s="74"/>
      <c r="L60" s="121">
        <f>L55-L41</f>
        <v>-0.22875000000000001</v>
      </c>
      <c r="M60" s="121">
        <f>M55-M41</f>
        <v>-0.31750000000000045</v>
      </c>
      <c r="N60" s="74" t="s">
        <v>126</v>
      </c>
      <c r="O60" s="74"/>
      <c r="P60" s="121">
        <f>P55-P42</f>
        <v>-0.245</v>
      </c>
      <c r="Q60" s="74" t="s">
        <v>126</v>
      </c>
      <c r="R60" s="117"/>
      <c r="S60" s="122">
        <f>S55-S42</f>
        <v>-0.245</v>
      </c>
      <c r="T60" s="119" t="s">
        <v>126</v>
      </c>
      <c r="U60" s="117"/>
      <c r="V60" s="122">
        <f>V55-V56-V42+V43</f>
        <v>1.6249999999999987E-2</v>
      </c>
      <c r="W60" s="119"/>
      <c r="X60" s="74"/>
      <c r="Y60" s="74"/>
      <c r="Z60" s="74"/>
    </row>
    <row r="61" spans="1:26" x14ac:dyDescent="0.25">
      <c r="A61" s="117"/>
      <c r="B61" s="117"/>
      <c r="C61" s="74"/>
      <c r="D61" s="74"/>
      <c r="E61" s="74" t="s">
        <v>103</v>
      </c>
      <c r="F61" s="74"/>
      <c r="G61" s="74"/>
      <c r="H61" s="74"/>
      <c r="I61" s="123">
        <f>D68</f>
        <v>7.0000000000000007E-2</v>
      </c>
      <c r="J61" s="74" t="s">
        <v>103</v>
      </c>
      <c r="K61" s="74"/>
      <c r="L61" s="121">
        <f>D68</f>
        <v>7.0000000000000007E-2</v>
      </c>
      <c r="M61" s="121">
        <f>D68</f>
        <v>7.0000000000000007E-2</v>
      </c>
      <c r="N61" s="74" t="s">
        <v>103</v>
      </c>
      <c r="O61" s="74"/>
      <c r="P61" s="121">
        <f>D41</f>
        <v>7.0000000000000007E-2</v>
      </c>
      <c r="Q61" s="74" t="s">
        <v>103</v>
      </c>
      <c r="R61" s="117"/>
      <c r="S61" s="122">
        <f>S43</f>
        <v>0</v>
      </c>
      <c r="T61" s="119" t="s">
        <v>103</v>
      </c>
      <c r="U61" s="117"/>
      <c r="V61" s="122">
        <f>D41</f>
        <v>7.0000000000000007E-2</v>
      </c>
      <c r="W61" s="119"/>
      <c r="X61" s="74"/>
      <c r="Y61" s="74"/>
      <c r="Z61" s="74"/>
    </row>
    <row r="62" spans="1:26" x14ac:dyDescent="0.25">
      <c r="A62" s="117"/>
      <c r="B62" s="119" t="s">
        <v>127</v>
      </c>
      <c r="C62" s="74"/>
      <c r="D62" s="74"/>
      <c r="E62" s="74" t="s">
        <v>128</v>
      </c>
      <c r="F62" s="74"/>
      <c r="G62" s="74"/>
      <c r="H62" s="74"/>
      <c r="I62" s="123">
        <f>I43</f>
        <v>0.02</v>
      </c>
      <c r="J62" s="74" t="s">
        <v>128</v>
      </c>
      <c r="K62" s="74"/>
      <c r="L62" s="121">
        <f>I43</f>
        <v>0.02</v>
      </c>
      <c r="M62" s="121">
        <f>I43</f>
        <v>0.02</v>
      </c>
      <c r="N62" s="74" t="s">
        <v>128</v>
      </c>
      <c r="O62" s="74"/>
      <c r="P62" s="121">
        <f>I43</f>
        <v>0.02</v>
      </c>
      <c r="Q62" s="74" t="s">
        <v>128</v>
      </c>
      <c r="R62" s="117"/>
      <c r="S62" s="122">
        <f>S44</f>
        <v>0.02</v>
      </c>
      <c r="T62" s="119" t="s">
        <v>128</v>
      </c>
      <c r="U62" s="117"/>
      <c r="V62" s="122">
        <f>V46</f>
        <v>0.04</v>
      </c>
      <c r="W62" s="119"/>
      <c r="X62" s="74"/>
      <c r="Y62" s="74"/>
      <c r="Z62" s="74"/>
    </row>
    <row r="63" spans="1:26" x14ac:dyDescent="0.25">
      <c r="A63" s="117"/>
      <c r="B63" s="119" t="s">
        <v>129</v>
      </c>
      <c r="C63" s="74"/>
      <c r="D63" s="124">
        <f>D67+D47-(0.3*A41*E39/12)</f>
        <v>6.3577250000000003</v>
      </c>
      <c r="E63" s="74" t="s">
        <v>130</v>
      </c>
      <c r="F63" s="74"/>
      <c r="G63" s="74"/>
      <c r="H63" s="74"/>
      <c r="I63" s="125">
        <f>I59+I60-I62-I61</f>
        <v>6.3475000000000001</v>
      </c>
      <c r="J63" s="74" t="s">
        <v>63</v>
      </c>
      <c r="K63" s="74"/>
      <c r="L63" s="124">
        <f>L59+L60-L61-L62</f>
        <v>6.1187500000000004</v>
      </c>
      <c r="M63" s="124">
        <f>M59+M60-M61-M62</f>
        <v>6.0299999999999994</v>
      </c>
      <c r="N63" s="74" t="s">
        <v>63</v>
      </c>
      <c r="O63" s="74"/>
      <c r="P63" s="124">
        <f>P59+P60-P61-P62</f>
        <v>6.1025</v>
      </c>
      <c r="Q63" s="74" t="s">
        <v>63</v>
      </c>
      <c r="R63" s="117"/>
      <c r="S63" s="126">
        <f>S59+S60-S62-S61</f>
        <v>6.0950000000000006</v>
      </c>
      <c r="T63" s="119" t="s">
        <v>63</v>
      </c>
      <c r="U63" s="117"/>
      <c r="V63" s="126">
        <f>V59+V60-V62-V61</f>
        <v>6.34375</v>
      </c>
      <c r="W63" s="119"/>
      <c r="X63" s="74"/>
      <c r="Y63" s="74"/>
      <c r="Z63" s="74"/>
    </row>
    <row r="64" spans="1:26" x14ac:dyDescent="0.25">
      <c r="A64" s="109"/>
      <c r="B64" s="109"/>
      <c r="C64" s="74"/>
      <c r="D64" s="121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x14ac:dyDescent="0.25">
      <c r="A65" s="127"/>
      <c r="B65" s="127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 t="s">
        <v>131</v>
      </c>
      <c r="O65" s="74"/>
      <c r="P65" s="74" t="s">
        <v>131</v>
      </c>
      <c r="Q65" s="74"/>
      <c r="R65" s="109"/>
      <c r="S65" s="109"/>
      <c r="T65" s="74"/>
      <c r="U65" s="74"/>
      <c r="V65" s="74"/>
      <c r="W65" s="74"/>
      <c r="X65" s="74"/>
      <c r="Y65" s="74"/>
      <c r="Z65" s="74"/>
    </row>
    <row r="66" spans="1:26" x14ac:dyDescent="0.25">
      <c r="A66" s="74"/>
      <c r="B66" s="74"/>
      <c r="C66" s="128" t="s">
        <v>56</v>
      </c>
      <c r="D66" s="74">
        <f>D67+E67</f>
        <v>6.4375</v>
      </c>
      <c r="E66" s="74" t="s">
        <v>132</v>
      </c>
      <c r="F66" s="74"/>
      <c r="G66" s="74"/>
      <c r="H66" s="74"/>
      <c r="I66" s="74"/>
      <c r="J66" s="74"/>
      <c r="K66" s="74"/>
      <c r="L66" s="74"/>
      <c r="M66" s="74"/>
      <c r="N66" s="74" t="s">
        <v>67</v>
      </c>
      <c r="O66" s="74"/>
      <c r="P66" s="74" t="s">
        <v>67</v>
      </c>
      <c r="Q66" s="74"/>
      <c r="R66" s="109"/>
      <c r="S66" s="109"/>
      <c r="T66" s="74"/>
      <c r="U66" s="74"/>
      <c r="V66" s="74"/>
      <c r="W66" s="74"/>
      <c r="X66" s="74"/>
      <c r="Y66" s="74"/>
      <c r="Z66" s="74"/>
    </row>
    <row r="67" spans="1:26" x14ac:dyDescent="0.25">
      <c r="A67" s="109"/>
      <c r="B67" s="74"/>
      <c r="C67" s="128" t="s">
        <v>57</v>
      </c>
      <c r="D67" s="129">
        <f>L2</f>
        <v>6.5575000000000001</v>
      </c>
      <c r="E67" s="105">
        <f>L3</f>
        <v>-0.12000000000000011</v>
      </c>
      <c r="F67" s="74"/>
      <c r="G67" s="74"/>
      <c r="H67" s="74"/>
      <c r="I67" s="74"/>
      <c r="J67" s="74"/>
      <c r="K67" s="74"/>
      <c r="L67" s="74"/>
      <c r="M67" s="74"/>
      <c r="N67" s="74" t="s">
        <v>133</v>
      </c>
      <c r="O67" s="74"/>
      <c r="P67" s="74" t="s">
        <v>134</v>
      </c>
      <c r="Q67" s="74"/>
      <c r="R67" s="109"/>
      <c r="S67" s="109"/>
      <c r="T67" s="74"/>
      <c r="U67" s="74"/>
      <c r="V67" s="74"/>
      <c r="W67" s="74"/>
    </row>
    <row r="68" spans="1:26" x14ac:dyDescent="0.25">
      <c r="A68" s="109"/>
      <c r="B68" s="74"/>
      <c r="C68" s="130" t="s">
        <v>135</v>
      </c>
      <c r="D68" s="131">
        <f>D41</f>
        <v>7.0000000000000007E-2</v>
      </c>
      <c r="E68" s="117"/>
      <c r="F68" s="117"/>
      <c r="G68" s="117"/>
      <c r="H68" s="117"/>
      <c r="I68" s="117"/>
      <c r="J68" s="132" t="s">
        <v>136</v>
      </c>
      <c r="K68" s="74"/>
      <c r="L68" s="132" t="s">
        <v>137</v>
      </c>
      <c r="M68" s="109"/>
      <c r="N68" s="109" t="s">
        <v>111</v>
      </c>
      <c r="O68" s="109"/>
      <c r="P68" s="109" t="s">
        <v>111</v>
      </c>
      <c r="Q68" s="109"/>
      <c r="R68" s="109"/>
      <c r="S68" s="109"/>
      <c r="T68" s="74"/>
      <c r="U68" s="74"/>
      <c r="V68" s="74"/>
      <c r="W68" s="74"/>
    </row>
    <row r="69" spans="1:26" x14ac:dyDescent="0.25">
      <c r="A69" s="109"/>
      <c r="B69" s="133"/>
      <c r="C69" s="117"/>
      <c r="D69" s="131"/>
      <c r="E69" s="119" t="s">
        <v>138</v>
      </c>
      <c r="F69" s="117"/>
      <c r="G69" s="117"/>
      <c r="H69" s="117"/>
      <c r="I69" s="117"/>
      <c r="J69" s="134" t="s">
        <v>139</v>
      </c>
      <c r="K69" s="74"/>
      <c r="L69" s="135" t="s">
        <v>140</v>
      </c>
      <c r="M69" s="109"/>
      <c r="N69" s="109"/>
      <c r="O69" s="109"/>
      <c r="P69" s="109"/>
      <c r="Q69" s="109"/>
      <c r="R69" s="109"/>
      <c r="S69" s="109"/>
      <c r="T69" s="74"/>
      <c r="U69" s="74"/>
      <c r="V69" s="74"/>
      <c r="W69" s="74"/>
    </row>
    <row r="70" spans="1:26" x14ac:dyDescent="0.25">
      <c r="A70" s="74"/>
      <c r="B70" s="136" t="s">
        <v>163</v>
      </c>
      <c r="C70" s="137"/>
      <c r="D70" s="118" t="s">
        <v>67</v>
      </c>
      <c r="E70" s="138" t="s">
        <v>141</v>
      </c>
      <c r="F70" s="137"/>
      <c r="G70" s="137"/>
      <c r="H70" s="137"/>
      <c r="I70" s="118" t="s">
        <v>142</v>
      </c>
      <c r="J70" s="139" t="s">
        <v>1</v>
      </c>
      <c r="K70" s="140"/>
      <c r="L70" s="141" t="s">
        <v>143</v>
      </c>
      <c r="M70" s="142"/>
      <c r="N70" s="142"/>
      <c r="O70" s="142"/>
      <c r="P70" s="137">
        <f>IF((D67+E67)&gt;D44,0,(D44-(D67+E67)))</f>
        <v>0</v>
      </c>
      <c r="Q70" s="109" t="s">
        <v>111</v>
      </c>
      <c r="R70" s="109"/>
      <c r="S70" s="109"/>
      <c r="T70" s="74"/>
      <c r="U70" s="74"/>
      <c r="V70" s="74"/>
      <c r="W70" s="74"/>
    </row>
    <row r="71" spans="1:26" x14ac:dyDescent="0.25">
      <c r="A71" s="74"/>
      <c r="B71" s="130" t="s">
        <v>24</v>
      </c>
      <c r="C71" s="119" t="s">
        <v>144</v>
      </c>
      <c r="D71" s="117">
        <f>D57</f>
        <v>6.3674999999999997</v>
      </c>
      <c r="E71" s="117">
        <f>D51-D56</f>
        <v>6.3674999999999997</v>
      </c>
      <c r="F71" s="117"/>
      <c r="G71" s="117"/>
      <c r="H71" s="117"/>
      <c r="I71" s="117">
        <f>D71-E71</f>
        <v>0</v>
      </c>
      <c r="J71" s="131" t="s">
        <v>145</v>
      </c>
      <c r="K71" s="74"/>
      <c r="L71" s="117">
        <f t="shared" ref="L71:L76" si="1">D71-$D$38</f>
        <v>7.499999999999396E-3</v>
      </c>
      <c r="M71" s="109"/>
      <c r="N71" s="117">
        <f t="shared" ref="N71:N76" si="2">D71+$D$39</f>
        <v>6.3674999999999997</v>
      </c>
      <c r="O71" s="109"/>
      <c r="P71" s="117">
        <f t="shared" ref="P71:P76" si="3">D71+$P$70</f>
        <v>6.3674999999999997</v>
      </c>
      <c r="Q71" s="109"/>
      <c r="R71" s="109"/>
      <c r="S71" s="109"/>
      <c r="T71" s="74"/>
      <c r="U71" s="74"/>
      <c r="V71" s="74"/>
      <c r="W71" s="74"/>
    </row>
    <row r="72" spans="1:26" x14ac:dyDescent="0.25">
      <c r="A72" s="74"/>
      <c r="B72" s="130" t="s">
        <v>201</v>
      </c>
      <c r="C72" s="119" t="s">
        <v>144</v>
      </c>
      <c r="D72" s="117">
        <f>D63</f>
        <v>6.3577250000000003</v>
      </c>
      <c r="E72" s="131" t="s">
        <v>145</v>
      </c>
      <c r="F72" s="117"/>
      <c r="G72" s="117"/>
      <c r="H72" s="117"/>
      <c r="I72" s="131" t="s">
        <v>146</v>
      </c>
      <c r="J72" s="117">
        <f>D72-$D$71</f>
        <v>-9.774999999999423E-3</v>
      </c>
      <c r="K72" s="74"/>
      <c r="L72" s="117">
        <f t="shared" si="1"/>
        <v>-2.275000000000027E-3</v>
      </c>
      <c r="M72" s="109"/>
      <c r="N72" s="117">
        <f t="shared" si="2"/>
        <v>6.3577250000000003</v>
      </c>
      <c r="O72" s="109"/>
      <c r="P72" s="117">
        <f t="shared" si="3"/>
        <v>6.3577250000000003</v>
      </c>
      <c r="Q72" s="109"/>
      <c r="R72" s="109"/>
      <c r="S72" s="109"/>
      <c r="T72" s="74"/>
      <c r="U72" s="74"/>
      <c r="V72" s="74"/>
      <c r="W72" s="74"/>
    </row>
    <row r="73" spans="1:26" x14ac:dyDescent="0.25">
      <c r="A73" s="74"/>
      <c r="B73" s="130" t="s">
        <v>25</v>
      </c>
      <c r="C73" s="119" t="s">
        <v>144</v>
      </c>
      <c r="D73" s="117">
        <f>D60</f>
        <v>6.3674999999999997</v>
      </c>
      <c r="E73" s="117">
        <f>D42</f>
        <v>6.3674999999999997</v>
      </c>
      <c r="F73" s="117"/>
      <c r="G73" s="117"/>
      <c r="H73" s="117"/>
      <c r="I73" s="117">
        <f>D73-E73</f>
        <v>0</v>
      </c>
      <c r="J73" s="117">
        <f>D73-$D$71</f>
        <v>0</v>
      </c>
      <c r="K73" s="74"/>
      <c r="L73" s="117">
        <f t="shared" si="1"/>
        <v>7.499999999999396E-3</v>
      </c>
      <c r="M73" s="109"/>
      <c r="N73" s="117">
        <f t="shared" si="2"/>
        <v>6.3674999999999997</v>
      </c>
      <c r="O73" s="109"/>
      <c r="P73" s="117">
        <f t="shared" si="3"/>
        <v>6.3674999999999997</v>
      </c>
      <c r="Q73" s="109"/>
      <c r="R73" s="109"/>
      <c r="S73" s="109"/>
      <c r="T73" s="74"/>
      <c r="U73" s="74"/>
      <c r="V73" s="74"/>
      <c r="W73" s="74"/>
    </row>
    <row r="74" spans="1:26" x14ac:dyDescent="0.25">
      <c r="A74" s="74"/>
      <c r="B74" s="130" t="s">
        <v>26</v>
      </c>
      <c r="C74" s="119" t="s">
        <v>144</v>
      </c>
      <c r="D74" s="117">
        <f>I63</f>
        <v>6.3475000000000001</v>
      </c>
      <c r="E74" s="117">
        <f>I44</f>
        <v>6.3475000000000001</v>
      </c>
      <c r="F74" s="117"/>
      <c r="G74" s="117"/>
      <c r="H74" s="117"/>
      <c r="I74" s="117">
        <f>D74-E74</f>
        <v>0</v>
      </c>
      <c r="J74" s="117">
        <f>D74-$D$71</f>
        <v>-1.9999999999999574E-2</v>
      </c>
      <c r="K74" s="74"/>
      <c r="L74" s="117">
        <f t="shared" si="1"/>
        <v>-1.2500000000000178E-2</v>
      </c>
      <c r="M74" s="109"/>
      <c r="N74" s="117">
        <f t="shared" si="2"/>
        <v>6.3475000000000001</v>
      </c>
      <c r="O74" s="109"/>
      <c r="P74" s="117">
        <f t="shared" si="3"/>
        <v>6.3475000000000001</v>
      </c>
      <c r="Q74" s="109"/>
      <c r="R74" s="109"/>
      <c r="S74" s="109"/>
      <c r="T74" s="74"/>
      <c r="U74" s="74"/>
      <c r="V74" s="74"/>
      <c r="W74" s="74"/>
    </row>
    <row r="75" spans="1:26" x14ac:dyDescent="0.25">
      <c r="A75" s="74"/>
      <c r="B75" s="130" t="s">
        <v>147</v>
      </c>
      <c r="C75" s="117">
        <f>L38</f>
        <v>6.3</v>
      </c>
      <c r="D75" s="117">
        <f>L63</f>
        <v>6.1187500000000004</v>
      </c>
      <c r="E75" s="117">
        <f>L47</f>
        <v>5.8612500000000001</v>
      </c>
      <c r="F75" s="119" t="s">
        <v>72</v>
      </c>
      <c r="G75" s="119"/>
      <c r="H75" s="119"/>
      <c r="I75" s="117">
        <f>D75-E75</f>
        <v>0.25750000000000028</v>
      </c>
      <c r="J75" s="117">
        <f>D75-$D$71</f>
        <v>-0.24874999999999936</v>
      </c>
      <c r="K75" s="74"/>
      <c r="L75" s="117">
        <f t="shared" si="1"/>
        <v>-0.24124999999999996</v>
      </c>
      <c r="M75" s="109"/>
      <c r="N75" s="117">
        <f t="shared" si="2"/>
        <v>6.1187500000000004</v>
      </c>
      <c r="O75" s="109"/>
      <c r="P75" s="117">
        <f t="shared" si="3"/>
        <v>6.1187500000000004</v>
      </c>
      <c r="Q75" s="109"/>
      <c r="R75" s="109"/>
      <c r="S75" s="109"/>
      <c r="T75" s="74"/>
      <c r="U75" s="74"/>
      <c r="V75" s="74"/>
      <c r="W75" s="74"/>
    </row>
    <row r="76" spans="1:26" x14ac:dyDescent="0.25">
      <c r="A76" s="74"/>
      <c r="B76" s="130" t="s">
        <v>147</v>
      </c>
      <c r="C76" s="117">
        <f>M38</f>
        <v>6.6</v>
      </c>
      <c r="D76" s="117">
        <f>M63</f>
        <v>6.0299999999999994</v>
      </c>
      <c r="E76" s="117">
        <f>M47</f>
        <v>6.0299999999999994</v>
      </c>
      <c r="F76" s="119" t="s">
        <v>72</v>
      </c>
      <c r="G76" s="119"/>
      <c r="H76" s="119"/>
      <c r="I76" s="117">
        <f>D76-E76</f>
        <v>0</v>
      </c>
      <c r="J76" s="117">
        <f>D76-$D$71</f>
        <v>-0.33750000000000036</v>
      </c>
      <c r="K76" s="74"/>
      <c r="L76" s="117">
        <f t="shared" si="1"/>
        <v>-0.33000000000000096</v>
      </c>
      <c r="M76" s="109"/>
      <c r="N76" s="117">
        <f t="shared" si="2"/>
        <v>6.0299999999999994</v>
      </c>
      <c r="O76" s="109"/>
      <c r="P76" s="117">
        <f t="shared" si="3"/>
        <v>6.0299999999999994</v>
      </c>
      <c r="Q76" s="109"/>
      <c r="R76" s="109"/>
      <c r="S76" s="109"/>
      <c r="T76" s="74"/>
      <c r="U76" s="74"/>
      <c r="V76" s="74"/>
      <c r="W76" s="74"/>
    </row>
    <row r="77" spans="1:26" x14ac:dyDescent="0.25">
      <c r="A77" s="74"/>
      <c r="B77" s="130" t="s">
        <v>28</v>
      </c>
      <c r="C77" s="117"/>
      <c r="D77" s="117"/>
      <c r="E77" s="117"/>
      <c r="F77" s="117"/>
      <c r="G77" s="117"/>
      <c r="H77" s="117"/>
      <c r="I77" s="117"/>
      <c r="J77" s="117"/>
      <c r="K77" s="74"/>
      <c r="L77" s="117"/>
      <c r="M77" s="109"/>
      <c r="N77" s="117"/>
      <c r="O77" s="109"/>
      <c r="P77" s="117"/>
      <c r="Q77" s="109"/>
      <c r="R77" s="109"/>
      <c r="S77" s="109"/>
      <c r="T77" s="74"/>
      <c r="U77" s="74"/>
      <c r="V77" s="74"/>
      <c r="W77" s="74"/>
    </row>
    <row r="78" spans="1:26" x14ac:dyDescent="0.25">
      <c r="A78" s="74"/>
      <c r="B78" s="130" t="s">
        <v>148</v>
      </c>
      <c r="C78" s="117">
        <f>P39</f>
        <v>6.8</v>
      </c>
      <c r="D78" s="117">
        <f>P63</f>
        <v>6.1025</v>
      </c>
      <c r="E78" s="117">
        <f>P47</f>
        <v>6.1025</v>
      </c>
      <c r="F78" s="119" t="s">
        <v>72</v>
      </c>
      <c r="G78" s="119"/>
      <c r="H78" s="119"/>
      <c r="I78" s="117">
        <f>D78-E78</f>
        <v>0</v>
      </c>
      <c r="J78" s="117">
        <f>D78-$D$71</f>
        <v>-0.26499999999999968</v>
      </c>
      <c r="K78" s="74"/>
      <c r="L78" s="117">
        <f>D78-$D$38</f>
        <v>-0.25750000000000028</v>
      </c>
      <c r="M78" s="109"/>
      <c r="N78" s="117">
        <f>D78+$D$39</f>
        <v>6.1025</v>
      </c>
      <c r="O78" s="109"/>
      <c r="P78" s="117">
        <f>D78+$P$70</f>
        <v>6.1025</v>
      </c>
      <c r="Q78" s="109"/>
      <c r="R78" s="109"/>
      <c r="S78" s="109"/>
      <c r="T78" s="74"/>
      <c r="U78" s="74"/>
      <c r="V78" s="74"/>
      <c r="W78" s="74"/>
    </row>
    <row r="79" spans="1:26" x14ac:dyDescent="0.25">
      <c r="A79" s="74"/>
      <c r="B79" s="130" t="s">
        <v>149</v>
      </c>
      <c r="C79" s="143">
        <f>C81</f>
        <v>6.8</v>
      </c>
      <c r="D79" s="143">
        <f>S63</f>
        <v>6.0950000000000006</v>
      </c>
      <c r="E79" s="143">
        <f>S47</f>
        <v>6.0950000000000006</v>
      </c>
      <c r="F79" s="143"/>
      <c r="G79" s="143"/>
      <c r="H79" s="143"/>
      <c r="I79" s="117">
        <f>D79-E79</f>
        <v>0</v>
      </c>
      <c r="J79" s="117">
        <f>D79-$D$71</f>
        <v>-0.27249999999999908</v>
      </c>
      <c r="K79" s="74"/>
      <c r="L79" s="117">
        <f>D79-$D$38</f>
        <v>-0.26499999999999968</v>
      </c>
      <c r="M79" s="74"/>
      <c r="N79" s="117">
        <f>D79+$D$39</f>
        <v>6.0950000000000006</v>
      </c>
      <c r="O79" s="74"/>
      <c r="P79" s="117">
        <f>D79+$P$70</f>
        <v>6.0950000000000006</v>
      </c>
      <c r="Q79" s="109"/>
      <c r="R79" s="109"/>
      <c r="S79" s="109"/>
      <c r="T79" s="74"/>
      <c r="U79" s="74"/>
      <c r="V79" s="74"/>
      <c r="W79" s="74"/>
    </row>
    <row r="80" spans="1:26" x14ac:dyDescent="0.25">
      <c r="A80" s="74"/>
      <c r="B80" s="130" t="s">
        <v>185</v>
      </c>
      <c r="C80" s="117">
        <f>V38</f>
        <v>6.3</v>
      </c>
      <c r="D80" s="117"/>
      <c r="E80" s="117"/>
      <c r="F80" s="117"/>
      <c r="G80" s="117"/>
      <c r="H80" s="117"/>
      <c r="I80" s="117"/>
      <c r="J80" s="117"/>
      <c r="K80" s="74"/>
      <c r="L80" s="117"/>
      <c r="M80" s="109"/>
      <c r="N80" s="117"/>
      <c r="O80" s="109"/>
      <c r="P80" s="117"/>
      <c r="Q80" s="109"/>
      <c r="R80" s="109"/>
      <c r="S80" s="109"/>
      <c r="T80" s="74"/>
      <c r="U80" s="74"/>
      <c r="V80" s="74"/>
      <c r="W80" s="74"/>
    </row>
    <row r="81" spans="1:23" x14ac:dyDescent="0.25">
      <c r="A81" s="74"/>
      <c r="B81" s="130" t="s">
        <v>150</v>
      </c>
      <c r="C81" s="117">
        <f>V39</f>
        <v>6.8</v>
      </c>
      <c r="D81" s="117">
        <f>V63</f>
        <v>6.34375</v>
      </c>
      <c r="E81" s="117">
        <f>V48</f>
        <v>6.0862499999999997</v>
      </c>
      <c r="F81" s="119" t="s">
        <v>72</v>
      </c>
      <c r="G81" s="119"/>
      <c r="H81" s="119"/>
      <c r="I81" s="117">
        <f>D81-E81</f>
        <v>0.25750000000000028</v>
      </c>
      <c r="J81" s="117">
        <f>D81-$D$71</f>
        <v>-2.3749999999999716E-2</v>
      </c>
      <c r="K81" s="74"/>
      <c r="L81" s="117">
        <f>D81-$D$38</f>
        <v>-1.625000000000032E-2</v>
      </c>
      <c r="M81" s="109"/>
      <c r="N81" s="117">
        <f>D81+$D$39</f>
        <v>6.34375</v>
      </c>
      <c r="O81" s="109"/>
      <c r="P81" s="117">
        <f>D81+$P$70</f>
        <v>6.34375</v>
      </c>
      <c r="Q81" s="109"/>
      <c r="R81" s="109"/>
      <c r="S81" s="109"/>
      <c r="T81" s="74"/>
      <c r="U81" s="74"/>
      <c r="V81" s="74"/>
      <c r="W81" s="74"/>
    </row>
    <row r="82" spans="1:23" x14ac:dyDescent="0.25">
      <c r="A82" s="74"/>
      <c r="B82" s="130"/>
      <c r="C82" s="117"/>
      <c r="D82" s="117"/>
      <c r="E82" s="117">
        <f>V49</f>
        <v>6.5862499999999997</v>
      </c>
      <c r="F82" s="119" t="s">
        <v>76</v>
      </c>
      <c r="G82" s="119"/>
      <c r="H82" s="119"/>
      <c r="I82" s="117">
        <f>D81-E82</f>
        <v>-0.24249999999999972</v>
      </c>
      <c r="J82" s="117"/>
      <c r="K82" s="74"/>
      <c r="L82" s="117"/>
      <c r="M82" s="109"/>
      <c r="N82" s="117"/>
      <c r="O82" s="109"/>
      <c r="P82" s="117"/>
      <c r="Q82" s="109"/>
      <c r="R82" s="109"/>
      <c r="S82" s="109"/>
      <c r="T82" s="74"/>
      <c r="U82" s="74"/>
      <c r="V82" s="74"/>
      <c r="W82" s="74"/>
    </row>
    <row r="83" spans="1:23" x14ac:dyDescent="0.25">
      <c r="A83" s="74"/>
      <c r="B83" s="74"/>
      <c r="C83" s="74"/>
      <c r="D83" s="140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</row>
    <row r="84" spans="1:23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</row>
    <row r="85" spans="1:23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</row>
    <row r="86" spans="1:23" ht="15.6" x14ac:dyDescent="0.3">
      <c r="P86" s="1"/>
      <c r="Q86" s="1"/>
      <c r="R86" s="1"/>
      <c r="S86" s="1"/>
      <c r="T86" s="1"/>
      <c r="U86" s="1"/>
      <c r="V86" s="1"/>
    </row>
    <row r="87" spans="1:23" ht="15.6" x14ac:dyDescent="0.3">
      <c r="P87" s="1"/>
      <c r="Q87" s="1"/>
      <c r="R87" s="1"/>
      <c r="S87" s="1"/>
      <c r="T87" s="1"/>
      <c r="U87" s="1"/>
      <c r="V87" s="1"/>
    </row>
    <row r="88" spans="1:23" ht="15.6" x14ac:dyDescent="0.3">
      <c r="P88" s="1"/>
      <c r="Q88" s="1"/>
      <c r="R88" s="1"/>
      <c r="S88" s="1"/>
      <c r="T88" s="1"/>
      <c r="U88" s="1"/>
      <c r="V88" s="1"/>
    </row>
    <row r="89" spans="1:23" ht="15.6" x14ac:dyDescent="0.3">
      <c r="P89" s="38"/>
      <c r="Q89" s="38"/>
      <c r="R89" s="1"/>
      <c r="S89" s="1"/>
      <c r="T89" s="1"/>
      <c r="U89" s="1"/>
      <c r="V89" s="1"/>
    </row>
    <row r="90" spans="1:23" ht="15.6" x14ac:dyDescent="0.3">
      <c r="P90" s="1"/>
      <c r="Q90" s="1"/>
      <c r="R90" s="1"/>
      <c r="S90" s="1"/>
      <c r="T90" s="1"/>
      <c r="U90" s="1"/>
      <c r="V90" s="1"/>
    </row>
    <row r="91" spans="1:23" ht="15.6" x14ac:dyDescent="0.3">
      <c r="P91" s="1"/>
      <c r="Q91" s="1"/>
      <c r="R91" s="1"/>
      <c r="S91" s="1"/>
      <c r="T91" s="1"/>
      <c r="U91" s="1"/>
      <c r="V91" s="1"/>
    </row>
    <row r="92" spans="1:23" ht="15.6" x14ac:dyDescent="0.3">
      <c r="P92" s="1"/>
      <c r="Q92" s="1"/>
      <c r="R92" s="1"/>
      <c r="S92" s="1"/>
      <c r="T92" s="1"/>
      <c r="U92" s="1"/>
      <c r="V92" s="1"/>
    </row>
    <row r="93" spans="1:23" ht="15.6" x14ac:dyDescent="0.3">
      <c r="P93" s="1"/>
      <c r="Q93" s="1"/>
      <c r="R93" s="1"/>
      <c r="S93" s="1"/>
      <c r="T93" s="1"/>
      <c r="U93" s="1"/>
      <c r="V93" s="1"/>
    </row>
    <row r="94" spans="1:23" ht="15.6" x14ac:dyDescent="0.3">
      <c r="P94" s="1"/>
      <c r="Q94" s="1"/>
      <c r="R94" s="1"/>
      <c r="S94" s="1"/>
      <c r="T94" s="1"/>
      <c r="U94" s="1"/>
      <c r="V94" s="1"/>
    </row>
    <row r="95" spans="1:23" ht="15.6" x14ac:dyDescent="0.3">
      <c r="P95" s="1"/>
      <c r="Q95" s="1"/>
      <c r="R95" s="1"/>
      <c r="S95" s="1"/>
      <c r="T95" s="1"/>
      <c r="U95" s="1"/>
      <c r="V95" s="1"/>
    </row>
    <row r="96" spans="1:23" ht="15.6" x14ac:dyDescent="0.3">
      <c r="P96" s="1"/>
      <c r="Q96" s="1"/>
      <c r="R96" s="1"/>
      <c r="S96" s="1"/>
      <c r="T96" s="1"/>
      <c r="U96" s="1"/>
      <c r="V96" s="1"/>
    </row>
    <row r="97" spans="1:22" ht="15.6" x14ac:dyDescent="0.3">
      <c r="P97" s="1"/>
      <c r="Q97" s="1"/>
      <c r="R97" s="1"/>
      <c r="S97" s="1"/>
      <c r="T97" s="1"/>
      <c r="U97" s="1"/>
      <c r="V97" s="1"/>
    </row>
    <row r="98" spans="1:22" ht="15.6" x14ac:dyDescent="0.3">
      <c r="P98" s="1"/>
      <c r="Q98" s="1"/>
      <c r="R98" s="1"/>
      <c r="S98" s="1"/>
      <c r="T98" s="1"/>
      <c r="U98" s="1"/>
      <c r="V98" s="1"/>
    </row>
    <row r="99" spans="1:22" ht="15.6" x14ac:dyDescent="0.3">
      <c r="P99" s="1"/>
      <c r="Q99" s="1"/>
      <c r="R99" s="1"/>
      <c r="S99" s="1"/>
      <c r="T99" s="1"/>
      <c r="U99" s="1"/>
      <c r="V99" s="1"/>
    </row>
    <row r="100" spans="1:22" ht="15.6" x14ac:dyDescent="0.3">
      <c r="P100" s="1"/>
      <c r="Q100" s="1"/>
      <c r="R100" s="1"/>
      <c r="S100" s="1"/>
      <c r="T100" s="1"/>
      <c r="U100" s="1"/>
      <c r="V100" s="1"/>
    </row>
    <row r="101" spans="1:22" ht="15.6" x14ac:dyDescent="0.3">
      <c r="P101" s="1"/>
      <c r="Q101" s="1"/>
      <c r="R101" s="1"/>
      <c r="S101" s="1"/>
      <c r="T101" s="1"/>
      <c r="U101" s="1"/>
      <c r="V101" s="1"/>
    </row>
    <row r="102" spans="1:22" ht="15.6" x14ac:dyDescent="0.3">
      <c r="P102" s="1"/>
      <c r="Q102" s="1"/>
      <c r="R102" s="1"/>
      <c r="S102" s="1"/>
      <c r="T102" s="1"/>
      <c r="U102" s="1"/>
      <c r="V102" s="1"/>
    </row>
    <row r="103" spans="1:22" ht="15.6" x14ac:dyDescent="0.3">
      <c r="P103" s="1"/>
      <c r="Q103" s="1"/>
      <c r="R103" s="1"/>
      <c r="S103" s="1"/>
      <c r="T103" s="1"/>
      <c r="U103" s="1"/>
      <c r="V103" s="1"/>
    </row>
    <row r="104" spans="1:22" ht="15.6" x14ac:dyDescent="0.3">
      <c r="P104" s="1"/>
      <c r="Q104" s="1"/>
      <c r="R104" s="1"/>
      <c r="S104" s="1"/>
      <c r="T104" s="1"/>
      <c r="U104" s="1"/>
      <c r="V104" s="1"/>
    </row>
    <row r="105" spans="1:22" ht="15.6" x14ac:dyDescent="0.3">
      <c r="P105" s="1"/>
      <c r="Q105" s="1"/>
      <c r="R105" s="1"/>
      <c r="S105" s="1"/>
      <c r="T105" s="1"/>
      <c r="U105" s="1"/>
      <c r="V105" s="1"/>
    </row>
    <row r="106" spans="1:22" ht="15.6" x14ac:dyDescent="0.3">
      <c r="P106" s="1"/>
      <c r="Q106" s="1"/>
      <c r="R106" s="1"/>
      <c r="S106" s="1"/>
      <c r="T106" s="1"/>
      <c r="U106" s="1"/>
      <c r="V106" s="1"/>
    </row>
    <row r="107" spans="1:22" ht="15.6" x14ac:dyDescent="0.3">
      <c r="P107" s="1"/>
      <c r="Q107" s="1"/>
      <c r="R107" s="1"/>
      <c r="S107" s="1"/>
      <c r="T107" s="1"/>
      <c r="U107" s="1"/>
      <c r="V107" s="1"/>
    </row>
    <row r="108" spans="1:22" ht="15.6" x14ac:dyDescent="0.3">
      <c r="P108" s="1"/>
      <c r="Q108" s="1"/>
      <c r="R108" s="1"/>
      <c r="S108" s="1"/>
      <c r="T108" s="1"/>
      <c r="U108" s="1"/>
      <c r="V108" s="1"/>
    </row>
    <row r="109" spans="1:22" ht="15.6" x14ac:dyDescent="0.3">
      <c r="P109" s="1"/>
      <c r="Q109" s="1"/>
      <c r="R109" s="1"/>
      <c r="S109" s="1"/>
      <c r="T109" s="1"/>
      <c r="U109" s="1"/>
      <c r="V109" s="1"/>
    </row>
    <row r="110" spans="1:22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6" x14ac:dyDescent="0.3">
      <c r="A116" s="38" t="s">
        <v>170</v>
      </c>
      <c r="B116" s="38"/>
      <c r="C116" s="38"/>
      <c r="D116" s="38"/>
      <c r="E116" s="38"/>
      <c r="F116" s="38"/>
      <c r="G116" s="38"/>
      <c r="H116" s="3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6" x14ac:dyDescent="0.3">
      <c r="A118" s="1" t="s">
        <v>188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6" x14ac:dyDescent="0.3">
      <c r="A119" s="1" t="s">
        <v>164</v>
      </c>
      <c r="B119" s="70" t="s">
        <v>165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6" x14ac:dyDescent="0.3">
      <c r="A120" s="50">
        <f>B14-B10</f>
        <v>-2.4999999999995026E-3</v>
      </c>
      <c r="B120" s="50">
        <f>B11*B9*D6/365</f>
        <v>4.756931506849315E-2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6" x14ac:dyDescent="0.3">
      <c r="A121" s="71">
        <f>A120/B120</f>
        <v>-5.2554887460537381E-2</v>
      </c>
      <c r="B121" s="1" t="s">
        <v>168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6" x14ac:dyDescent="0.3">
      <c r="A122" s="1" t="s">
        <v>169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6" x14ac:dyDescent="0.3">
      <c r="A125" s="38" t="s">
        <v>190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6" x14ac:dyDescent="0.3">
      <c r="A126" s="67">
        <f>B13-B11</f>
        <v>7.749999999999968E-2</v>
      </c>
      <c r="B126" s="1" t="s">
        <v>192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6" x14ac:dyDescent="0.3">
      <c r="A127" s="67">
        <f>ROUND((A41*E39/12*D38),2)*-1</f>
        <v>-0.05</v>
      </c>
      <c r="B127" s="1" t="s">
        <v>193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9.2" x14ac:dyDescent="0.6">
      <c r="A128" s="72">
        <f>ROUND(A43+(A45*E39),2)*-1</f>
        <v>-0.03</v>
      </c>
      <c r="B128" s="38" t="s">
        <v>194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6" x14ac:dyDescent="0.3">
      <c r="A129" s="51">
        <f>SUM(A126:A128)</f>
        <v>-2.5000000000003214E-3</v>
      </c>
      <c r="B129" s="1" t="s">
        <v>191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</sheetData>
  <sheetProtection sheet="1" objects="1" scenarios="1"/>
  <mergeCells count="4">
    <mergeCell ref="B5:C5"/>
    <mergeCell ref="B6:C6"/>
    <mergeCell ref="B4:C4"/>
    <mergeCell ref="L6:M8"/>
  </mergeCells>
  <phoneticPr fontId="2" type="noConversion"/>
  <conditionalFormatting sqref="P9:P12 Q10:Q12 S9:S26 P13:Q26">
    <cfRule type="cellIs" dxfId="11" priority="7" stopIfTrue="1" operator="greaterThan">
      <formula>0</formula>
    </cfRule>
    <cfRule type="cellIs" dxfId="10" priority="8" stopIfTrue="1" operator="lessThan">
      <formula>0</formula>
    </cfRule>
  </conditionalFormatting>
  <conditionalFormatting sqref="S28 P28:Q28">
    <cfRule type="cellIs" dxfId="9" priority="5" stopIfTrue="1" operator="greaterThan">
      <formula>0</formula>
    </cfRule>
    <cfRule type="cellIs" dxfId="8" priority="6" stopIfTrue="1" operator="lessThan">
      <formula>0</formula>
    </cfRule>
  </conditionalFormatting>
  <conditionalFormatting sqref="S27 P27:Q27">
    <cfRule type="cellIs" dxfId="7" priority="3" stopIfTrue="1" operator="greaterThan">
      <formula>0</formula>
    </cfRule>
    <cfRule type="cellIs" dxfId="6" priority="4" stopIfTrue="1" operator="lessThan">
      <formula>0</formula>
    </cfRule>
  </conditionalFormatting>
  <conditionalFormatting sqref="A129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D1C0-F24D-4DCC-9ECF-8C78CA9A5133}">
  <dimension ref="A1:AD114"/>
  <sheetViews>
    <sheetView workbookViewId="0">
      <selection activeCell="B12" sqref="B12"/>
    </sheetView>
  </sheetViews>
  <sheetFormatPr defaultRowHeight="13.2" x14ac:dyDescent="0.25"/>
  <cols>
    <col min="1" max="1" width="37.88671875" customWidth="1"/>
    <col min="2" max="2" width="12.44140625" customWidth="1"/>
    <col min="3" max="3" width="9.77734375" customWidth="1"/>
    <col min="4" max="4" width="13.6640625" customWidth="1"/>
    <col min="5" max="5" width="4.6640625" customWidth="1"/>
    <col min="6" max="6" width="12" bestFit="1" customWidth="1"/>
    <col min="7" max="7" width="15.109375" customWidth="1"/>
    <col min="8" max="8" width="2.77734375" customWidth="1"/>
    <col min="9" max="16" width="10.77734375" customWidth="1"/>
    <col min="17" max="17" width="12.33203125" bestFit="1" customWidth="1"/>
  </cols>
  <sheetData>
    <row r="1" spans="1:21" ht="21" x14ac:dyDescent="0.4">
      <c r="A1" s="259" t="s">
        <v>200</v>
      </c>
      <c r="B1" s="260" t="s">
        <v>199</v>
      </c>
      <c r="C1" s="161"/>
      <c r="D1" s="163"/>
      <c r="E1" s="1"/>
      <c r="F1" s="1"/>
      <c r="G1" s="1"/>
      <c r="H1" s="1"/>
      <c r="I1" s="1"/>
      <c r="J1" s="144" t="s">
        <v>64</v>
      </c>
      <c r="K1" s="36">
        <f>C9</f>
        <v>44866</v>
      </c>
      <c r="L1" s="1"/>
      <c r="M1" s="6"/>
      <c r="N1" s="6"/>
      <c r="O1" s="6"/>
      <c r="P1" s="6"/>
      <c r="Q1" s="1"/>
      <c r="R1" s="1"/>
      <c r="S1" s="1"/>
      <c r="T1" s="1"/>
      <c r="U1" s="1"/>
    </row>
    <row r="2" spans="1:21" ht="15.6" x14ac:dyDescent="0.3">
      <c r="A2" s="214" t="s">
        <v>4</v>
      </c>
      <c r="B2" s="206" t="s">
        <v>210</v>
      </c>
      <c r="C2" s="207"/>
      <c r="D2" s="166"/>
      <c r="E2" s="1"/>
      <c r="F2" s="1"/>
      <c r="G2" s="1"/>
      <c r="H2" s="1"/>
      <c r="I2" s="1"/>
      <c r="J2" s="2" t="s">
        <v>11</v>
      </c>
      <c r="K2" s="58">
        <v>12</v>
      </c>
      <c r="L2" s="1"/>
      <c r="M2" s="6"/>
      <c r="N2" s="6"/>
      <c r="O2" s="6"/>
      <c r="P2" s="6"/>
      <c r="Q2" s="1"/>
      <c r="R2" s="1"/>
      <c r="S2" s="1"/>
      <c r="T2" s="1"/>
      <c r="U2" s="1"/>
    </row>
    <row r="3" spans="1:21" ht="15.6" x14ac:dyDescent="0.3">
      <c r="A3" s="214" t="s">
        <v>5</v>
      </c>
      <c r="B3" s="206" t="s">
        <v>211</v>
      </c>
      <c r="C3" s="207"/>
      <c r="D3" s="166"/>
      <c r="E3" s="1"/>
      <c r="F3" s="1"/>
      <c r="G3" s="1"/>
      <c r="H3" s="1"/>
      <c r="I3" s="1"/>
      <c r="J3" s="2" t="s">
        <v>65</v>
      </c>
      <c r="K3" s="3">
        <f>B10</f>
        <v>-0.34999999999999964</v>
      </c>
      <c r="L3" s="74" t="s">
        <v>13</v>
      </c>
      <c r="M3" s="74"/>
      <c r="N3" s="74"/>
      <c r="O3" s="74"/>
      <c r="P3" s="74"/>
      <c r="Q3" s="74"/>
      <c r="R3" s="1"/>
      <c r="S3" s="1"/>
      <c r="T3" s="1"/>
      <c r="U3" s="1"/>
    </row>
    <row r="4" spans="1:21" ht="16.2" thickBot="1" x14ac:dyDescent="0.35">
      <c r="A4" s="214" t="s">
        <v>7</v>
      </c>
      <c r="B4" s="208">
        <v>44618</v>
      </c>
      <c r="C4" s="209"/>
      <c r="D4" s="166"/>
      <c r="E4" s="1" t="s">
        <v>153</v>
      </c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6" x14ac:dyDescent="0.3">
      <c r="A5" s="214" t="s">
        <v>8</v>
      </c>
      <c r="B5" s="210">
        <v>44866</v>
      </c>
      <c r="C5" s="210"/>
      <c r="D5" s="166"/>
      <c r="E5" s="60">
        <f>B5-B4</f>
        <v>248</v>
      </c>
      <c r="F5" s="1"/>
      <c r="G5" s="1"/>
      <c r="H5" s="177"/>
      <c r="I5" s="178"/>
      <c r="J5" s="179">
        <f>K1</f>
        <v>44866</v>
      </c>
      <c r="K5" s="180" t="s">
        <v>66</v>
      </c>
      <c r="L5" s="178"/>
      <c r="M5" s="178"/>
      <c r="N5" s="178"/>
      <c r="O5" s="178"/>
      <c r="P5" s="181" t="s">
        <v>152</v>
      </c>
      <c r="Q5" s="1"/>
      <c r="R5" s="1"/>
      <c r="S5" s="1"/>
      <c r="T5" s="1"/>
      <c r="U5" s="1"/>
    </row>
    <row r="6" spans="1:21" ht="15.6" x14ac:dyDescent="0.3">
      <c r="A6" s="214" t="s">
        <v>9</v>
      </c>
      <c r="B6" s="3">
        <v>0</v>
      </c>
      <c r="C6" s="28"/>
      <c r="D6" s="166"/>
      <c r="E6" s="1"/>
      <c r="F6" s="1"/>
      <c r="G6" s="1"/>
      <c r="H6" s="182"/>
      <c r="I6" s="183"/>
      <c r="J6" s="4"/>
      <c r="K6" s="184"/>
      <c r="L6" s="185" t="s">
        <v>205</v>
      </c>
      <c r="M6" s="183"/>
      <c r="N6" s="183"/>
      <c r="O6" s="183"/>
      <c r="P6" s="186" t="s">
        <v>139</v>
      </c>
      <c r="Q6" s="1"/>
      <c r="R6" s="1"/>
      <c r="S6" s="1"/>
      <c r="T6" s="1"/>
      <c r="U6" s="1"/>
    </row>
    <row r="7" spans="1:21" ht="16.2" thickBot="1" x14ac:dyDescent="0.35">
      <c r="A7" s="214" t="s">
        <v>204</v>
      </c>
      <c r="B7" s="3">
        <v>10</v>
      </c>
      <c r="C7" s="28"/>
      <c r="D7" s="166"/>
      <c r="E7" s="1"/>
      <c r="F7" s="1"/>
      <c r="G7" s="1"/>
      <c r="H7" s="182"/>
      <c r="I7" s="183"/>
      <c r="J7" s="183"/>
      <c r="K7" s="183"/>
      <c r="L7" s="187" t="s">
        <v>206</v>
      </c>
      <c r="M7" s="188" t="s">
        <v>138</v>
      </c>
      <c r="N7" s="188"/>
      <c r="O7" s="189" t="s">
        <v>142</v>
      </c>
      <c r="P7" s="190" t="s">
        <v>1</v>
      </c>
      <c r="Q7" s="1"/>
      <c r="R7" s="1"/>
      <c r="S7" s="1"/>
      <c r="T7" s="1"/>
      <c r="U7" s="1"/>
    </row>
    <row r="8" spans="1:21" ht="15.6" x14ac:dyDescent="0.3">
      <c r="A8" s="215" t="s">
        <v>10</v>
      </c>
      <c r="B8" s="73">
        <v>13.8</v>
      </c>
      <c r="C8" s="216">
        <f>C9</f>
        <v>44866</v>
      </c>
      <c r="D8" s="166"/>
      <c r="E8" s="1"/>
      <c r="F8" s="1"/>
      <c r="G8" s="1"/>
      <c r="H8" s="182"/>
      <c r="I8" s="183"/>
      <c r="J8" s="4"/>
      <c r="K8" s="4" t="s">
        <v>68</v>
      </c>
      <c r="L8" s="199">
        <f>D46</f>
        <v>11.65</v>
      </c>
      <c r="M8" s="200">
        <f>B21</f>
        <v>13.8</v>
      </c>
      <c r="N8" s="201"/>
      <c r="O8" s="200">
        <f>L8-M8</f>
        <v>-2.1500000000000004</v>
      </c>
      <c r="P8" s="202" t="s">
        <v>145</v>
      </c>
      <c r="Q8" s="1"/>
      <c r="R8" s="1"/>
      <c r="S8" s="1"/>
      <c r="T8" s="1"/>
      <c r="U8" s="1"/>
    </row>
    <row r="9" spans="1:21" ht="15.6" x14ac:dyDescent="0.3">
      <c r="A9" s="215" t="s">
        <v>11</v>
      </c>
      <c r="B9" s="73">
        <v>14.15</v>
      </c>
      <c r="C9" s="216">
        <f>B5</f>
        <v>44866</v>
      </c>
      <c r="D9" s="166"/>
      <c r="E9" s="1"/>
      <c r="F9" s="1"/>
      <c r="G9" s="1"/>
      <c r="H9" s="182"/>
      <c r="I9" s="183"/>
      <c r="J9" s="4"/>
      <c r="K9" s="4"/>
      <c r="L9" s="203"/>
      <c r="M9" s="173"/>
      <c r="N9" s="174"/>
      <c r="O9" s="173"/>
      <c r="P9" s="191"/>
      <c r="Q9" s="1"/>
      <c r="R9" s="1"/>
      <c r="S9" s="1"/>
      <c r="T9" s="1"/>
      <c r="U9" s="1"/>
    </row>
    <row r="10" spans="1:21" ht="15.6" x14ac:dyDescent="0.3">
      <c r="A10" s="215" t="s">
        <v>12</v>
      </c>
      <c r="B10" s="3">
        <f>B8-B9</f>
        <v>-0.34999999999999964</v>
      </c>
      <c r="C10" s="92" t="s">
        <v>13</v>
      </c>
      <c r="D10" s="261"/>
      <c r="E10" s="74"/>
      <c r="F10" s="74"/>
      <c r="G10" s="74"/>
      <c r="H10" s="182"/>
      <c r="I10" s="183"/>
      <c r="J10" s="4" t="s">
        <v>37</v>
      </c>
      <c r="K10" s="175">
        <f>D38</f>
        <v>-0.34999999999999964</v>
      </c>
      <c r="L10" s="203">
        <f>D48</f>
        <v>11.65</v>
      </c>
      <c r="M10" s="173" t="s">
        <v>69</v>
      </c>
      <c r="N10" s="174"/>
      <c r="O10" s="173" t="s">
        <v>69</v>
      </c>
      <c r="P10" s="191">
        <f>L10-L8</f>
        <v>0</v>
      </c>
      <c r="Q10" s="1"/>
      <c r="R10" s="1"/>
      <c r="S10" s="1"/>
      <c r="T10" s="1"/>
      <c r="U10" s="1"/>
    </row>
    <row r="11" spans="1:21" ht="15.6" x14ac:dyDescent="0.3">
      <c r="A11" s="215" t="s">
        <v>198</v>
      </c>
      <c r="B11" s="5">
        <v>0.02</v>
      </c>
      <c r="C11" s="28"/>
      <c r="D11" s="166"/>
      <c r="E11" s="1"/>
      <c r="F11" s="1"/>
      <c r="G11" s="1"/>
      <c r="H11" s="182"/>
      <c r="I11" s="183"/>
      <c r="J11" s="4"/>
      <c r="K11" s="4"/>
      <c r="L11" s="203"/>
      <c r="M11" s="173"/>
      <c r="N11" s="174"/>
      <c r="O11" s="173"/>
      <c r="P11" s="191"/>
      <c r="Q11" s="1"/>
      <c r="R11" s="1"/>
      <c r="S11" s="1"/>
      <c r="T11" s="1"/>
      <c r="U11" s="1"/>
    </row>
    <row r="12" spans="1:21" ht="15.6" x14ac:dyDescent="0.3">
      <c r="A12" s="215" t="s">
        <v>157</v>
      </c>
      <c r="B12" s="58">
        <v>0</v>
      </c>
      <c r="C12" s="92" t="s">
        <v>208</v>
      </c>
      <c r="D12" s="166"/>
      <c r="E12" s="1"/>
      <c r="F12" s="1"/>
      <c r="G12" s="1"/>
      <c r="H12" s="182"/>
      <c r="I12" s="183"/>
      <c r="J12" s="4"/>
      <c r="K12" s="4" t="s">
        <v>33</v>
      </c>
      <c r="L12" s="203">
        <f>G55</f>
        <v>13.8</v>
      </c>
      <c r="M12" s="173" t="s">
        <v>69</v>
      </c>
      <c r="N12" s="174"/>
      <c r="O12" s="173" t="s">
        <v>69</v>
      </c>
      <c r="P12" s="191">
        <f>L12-L$8</f>
        <v>2.1500000000000004</v>
      </c>
      <c r="Q12" s="1"/>
      <c r="R12" s="1"/>
      <c r="S12" s="1"/>
      <c r="T12" s="1"/>
      <c r="U12" s="1"/>
    </row>
    <row r="13" spans="1:21" ht="15.6" x14ac:dyDescent="0.3">
      <c r="A13" s="215" t="s">
        <v>154</v>
      </c>
      <c r="B13" s="57">
        <v>3.5000000000000003E-2</v>
      </c>
      <c r="C13" s="28"/>
      <c r="D13" s="166"/>
      <c r="E13" s="1" t="s">
        <v>184</v>
      </c>
      <c r="G13" s="1"/>
      <c r="H13" s="182"/>
      <c r="I13" s="183"/>
      <c r="J13" s="4"/>
      <c r="K13" s="4"/>
      <c r="L13" s="203"/>
      <c r="M13" s="173"/>
      <c r="N13" s="174"/>
      <c r="O13" s="173"/>
      <c r="P13" s="191"/>
      <c r="Q13" s="1"/>
      <c r="R13" s="1"/>
      <c r="S13" s="1"/>
      <c r="T13" s="1"/>
      <c r="U13" s="1"/>
    </row>
    <row r="14" spans="1:21" ht="15.6" x14ac:dyDescent="0.3">
      <c r="A14" s="215" t="s">
        <v>158</v>
      </c>
      <c r="B14" s="59">
        <f>ROUND(B9,1)</f>
        <v>14.2</v>
      </c>
      <c r="C14" s="216">
        <f>C9</f>
        <v>44866</v>
      </c>
      <c r="D14" s="166"/>
      <c r="E14" s="38" t="s">
        <v>183</v>
      </c>
      <c r="G14" s="1"/>
      <c r="H14" s="182"/>
      <c r="I14" s="183"/>
      <c r="J14" s="4"/>
      <c r="K14" s="4" t="s">
        <v>70</v>
      </c>
      <c r="L14" s="203">
        <f>J55</f>
        <v>13.831128767123289</v>
      </c>
      <c r="M14" s="173">
        <f>J42</f>
        <v>13.780000000000001</v>
      </c>
      <c r="N14" s="174"/>
      <c r="O14" s="173">
        <f>L14-M14</f>
        <v>5.1128767123287844E-2</v>
      </c>
      <c r="P14" s="191">
        <f>L14-L$8</f>
        <v>2.1811287671232886</v>
      </c>
      <c r="Q14" s="1"/>
      <c r="R14" s="1"/>
      <c r="S14" s="1"/>
      <c r="T14" s="1"/>
      <c r="U14" s="1"/>
    </row>
    <row r="15" spans="1:21" ht="15.6" x14ac:dyDescent="0.3">
      <c r="A15" s="215" t="s">
        <v>15</v>
      </c>
      <c r="B15" s="5">
        <v>1.0725</v>
      </c>
      <c r="C15" s="52">
        <f>B14</f>
        <v>14.2</v>
      </c>
      <c r="D15" s="166" t="s">
        <v>16</v>
      </c>
      <c r="F15" s="53">
        <f>B15-B17</f>
        <v>0.12750000000000006</v>
      </c>
      <c r="G15" s="1"/>
      <c r="H15" s="182"/>
      <c r="I15" s="183"/>
      <c r="J15" s="4"/>
      <c r="K15" s="4"/>
      <c r="L15" s="203"/>
      <c r="M15" s="173"/>
      <c r="N15" s="174"/>
      <c r="O15" s="173"/>
      <c r="P15" s="191"/>
      <c r="Q15" s="1"/>
      <c r="R15" s="1"/>
      <c r="S15" s="1"/>
      <c r="T15" s="1"/>
      <c r="U15" s="1"/>
    </row>
    <row r="16" spans="1:21" ht="15.6" x14ac:dyDescent="0.3">
      <c r="A16" s="215" t="s">
        <v>15</v>
      </c>
      <c r="B16" s="73">
        <v>0.95499999999999996</v>
      </c>
      <c r="C16" s="52">
        <f>B14-0.2</f>
        <v>14</v>
      </c>
      <c r="D16" s="166" t="s">
        <v>16</v>
      </c>
      <c r="F16" s="53">
        <f>B16-B17</f>
        <v>1.0000000000000009E-2</v>
      </c>
      <c r="G16" s="1"/>
      <c r="H16" s="182"/>
      <c r="I16" s="183"/>
      <c r="J16" s="4" t="s">
        <v>71</v>
      </c>
      <c r="K16" s="59">
        <f>M35</f>
        <v>14</v>
      </c>
      <c r="L16" s="204">
        <f>M55</f>
        <v>12.652289315068494</v>
      </c>
      <c r="M16" s="173">
        <f>M45</f>
        <v>12.652289315068494</v>
      </c>
      <c r="N16" s="176" t="s">
        <v>72</v>
      </c>
      <c r="O16" s="173">
        <f>L16-M16</f>
        <v>0</v>
      </c>
      <c r="P16" s="191">
        <f>L16-L$8</f>
        <v>1.0022893150684933</v>
      </c>
      <c r="Q16" s="1"/>
      <c r="R16" s="1"/>
      <c r="S16" s="1"/>
      <c r="T16" s="1"/>
      <c r="U16" s="1"/>
    </row>
    <row r="17" spans="1:21" ht="15.6" x14ac:dyDescent="0.3">
      <c r="A17" s="215" t="s">
        <v>17</v>
      </c>
      <c r="B17" s="73">
        <v>0.94499999999999995</v>
      </c>
      <c r="C17" s="52">
        <f>B14+0.2</f>
        <v>14.399999999999999</v>
      </c>
      <c r="D17" s="166" t="s">
        <v>16</v>
      </c>
      <c r="E17" s="1"/>
      <c r="F17" s="1"/>
      <c r="G17" s="1"/>
      <c r="H17" s="182"/>
      <c r="I17" s="183"/>
      <c r="J17" s="4" t="s">
        <v>71</v>
      </c>
      <c r="K17" s="59">
        <f>N35</f>
        <v>14.2</v>
      </c>
      <c r="L17" s="203">
        <f>N55</f>
        <v>12.73199506849315</v>
      </c>
      <c r="M17" s="173">
        <f>N45</f>
        <v>12.73199506849315</v>
      </c>
      <c r="N17" s="176" t="s">
        <v>72</v>
      </c>
      <c r="O17" s="173">
        <f>L17-M17</f>
        <v>0</v>
      </c>
      <c r="P17" s="191">
        <f>L17-L$8</f>
        <v>1.0819950684931499</v>
      </c>
      <c r="Q17" s="1"/>
      <c r="R17" s="1"/>
      <c r="S17" s="1"/>
      <c r="T17" s="1"/>
      <c r="U17" s="1"/>
    </row>
    <row r="18" spans="1:21" ht="15.6" x14ac:dyDescent="0.3">
      <c r="A18" s="215"/>
      <c r="B18" s="28" t="s">
        <v>2</v>
      </c>
      <c r="C18" s="28"/>
      <c r="D18" s="166"/>
      <c r="E18" s="1"/>
      <c r="F18" s="1"/>
      <c r="G18" s="1"/>
      <c r="H18" s="182"/>
      <c r="I18" s="183"/>
      <c r="J18" s="4"/>
      <c r="K18" s="59"/>
      <c r="L18" s="203"/>
      <c r="M18" s="173"/>
      <c r="N18" s="176"/>
      <c r="O18" s="173"/>
      <c r="P18" s="191"/>
      <c r="Q18" s="1"/>
      <c r="R18" s="1"/>
      <c r="S18" s="1"/>
      <c r="T18" s="1"/>
      <c r="U18" s="1"/>
    </row>
    <row r="19" spans="1:21" ht="15.6" x14ac:dyDescent="0.3">
      <c r="A19" s="164"/>
      <c r="B19" s="218" t="s">
        <v>18</v>
      </c>
      <c r="C19" s="21"/>
      <c r="D19" s="166"/>
      <c r="E19" s="1"/>
      <c r="F19" s="1"/>
      <c r="G19" s="1"/>
      <c r="H19" s="182"/>
      <c r="I19" s="183"/>
      <c r="J19" s="4" t="s">
        <v>73</v>
      </c>
      <c r="K19" s="59"/>
      <c r="L19" s="203"/>
      <c r="M19" s="173"/>
      <c r="N19" s="176"/>
      <c r="O19" s="173"/>
      <c r="P19" s="191"/>
      <c r="Q19" s="1"/>
      <c r="R19" s="1"/>
      <c r="S19" s="1"/>
      <c r="T19" s="1"/>
      <c r="U19" s="1"/>
    </row>
    <row r="20" spans="1:21" ht="15.6" x14ac:dyDescent="0.3">
      <c r="A20" s="219" t="s">
        <v>19</v>
      </c>
      <c r="B20" s="8">
        <f>B21*1.1</f>
        <v>15.180000000000001</v>
      </c>
      <c r="C20" s="28"/>
      <c r="D20" s="166"/>
      <c r="E20" s="1"/>
      <c r="F20" s="1"/>
      <c r="G20" s="1"/>
      <c r="H20" s="182"/>
      <c r="I20" s="183"/>
      <c r="J20" s="4" t="s">
        <v>74</v>
      </c>
      <c r="K20" s="59">
        <f>Q35</f>
        <v>14.399999999999999</v>
      </c>
      <c r="L20" s="203">
        <f>Q55</f>
        <v>12.812527123287673</v>
      </c>
      <c r="M20" s="173">
        <f>Q45</f>
        <v>12.835000000000001</v>
      </c>
      <c r="N20" s="176" t="s">
        <v>72</v>
      </c>
      <c r="O20" s="173">
        <f>L20-M20</f>
        <v>-2.2472876712328116E-2</v>
      </c>
      <c r="P20" s="191">
        <f>L20-L$8</f>
        <v>1.1625271232876724</v>
      </c>
      <c r="Q20" s="1"/>
      <c r="R20" s="1"/>
      <c r="S20" s="1"/>
      <c r="T20" s="1"/>
      <c r="U20" s="1"/>
    </row>
    <row r="21" spans="1:21" ht="15.6" x14ac:dyDescent="0.3">
      <c r="A21" s="219" t="s">
        <v>20</v>
      </c>
      <c r="B21" s="8">
        <f>B8</f>
        <v>13.8</v>
      </c>
      <c r="C21" s="28"/>
      <c r="D21" s="166"/>
      <c r="E21" s="1"/>
      <c r="F21" s="1"/>
      <c r="G21" s="1"/>
      <c r="H21" s="182"/>
      <c r="I21" s="183"/>
      <c r="J21" s="4"/>
      <c r="K21" s="59"/>
      <c r="L21" s="203"/>
      <c r="M21" s="173"/>
      <c r="N21" s="176"/>
      <c r="O21" s="173"/>
      <c r="P21" s="191"/>
      <c r="Q21" s="1"/>
      <c r="R21" s="1"/>
      <c r="S21" s="1"/>
      <c r="T21" s="1"/>
      <c r="U21" s="1"/>
    </row>
    <row r="22" spans="1:21" ht="16.2" thickBot="1" x14ac:dyDescent="0.35">
      <c r="A22" s="220" t="s">
        <v>21</v>
      </c>
      <c r="B22" s="221">
        <f>B21*0.9</f>
        <v>12.420000000000002</v>
      </c>
      <c r="C22" s="171"/>
      <c r="D22" s="222"/>
      <c r="E22" s="1"/>
      <c r="F22" s="1"/>
      <c r="G22" s="1"/>
      <c r="H22" s="182"/>
      <c r="I22" s="183"/>
      <c r="J22" s="4" t="s">
        <v>207</v>
      </c>
      <c r="K22" s="59">
        <f>T35</f>
        <v>14.2</v>
      </c>
      <c r="L22" s="203"/>
      <c r="M22" s="173"/>
      <c r="N22" s="176"/>
      <c r="O22" s="173"/>
      <c r="P22" s="191"/>
      <c r="Q22" s="1"/>
      <c r="R22" s="1"/>
      <c r="S22" s="1"/>
      <c r="T22" s="1"/>
      <c r="U22" s="1"/>
    </row>
    <row r="23" spans="1:21" ht="15.6" x14ac:dyDescent="0.3">
      <c r="A23" s="7"/>
      <c r="B23" s="1"/>
      <c r="C23" s="1"/>
      <c r="D23" s="1"/>
      <c r="E23" s="1"/>
      <c r="F23" s="1"/>
      <c r="G23" s="1"/>
      <c r="H23" s="182"/>
      <c r="I23" s="183"/>
      <c r="J23" s="4" t="s">
        <v>75</v>
      </c>
      <c r="K23" s="59">
        <f>T36</f>
        <v>14.399999999999999</v>
      </c>
      <c r="L23" s="203">
        <f>T55</f>
        <v>13.679467945205481</v>
      </c>
      <c r="M23" s="173">
        <f>T44</f>
        <v>13.679467945205481</v>
      </c>
      <c r="N23" s="176" t="s">
        <v>72</v>
      </c>
      <c r="O23" s="173">
        <f>L23-M23</f>
        <v>0</v>
      </c>
      <c r="P23" s="191">
        <f>L23-L$8</f>
        <v>2.0294679452054805</v>
      </c>
      <c r="Q23" s="1"/>
      <c r="R23" s="1"/>
      <c r="S23" s="1"/>
      <c r="T23" s="1"/>
      <c r="U23" s="1"/>
    </row>
    <row r="24" spans="1:21" ht="16.2" thickBot="1" x14ac:dyDescent="0.35">
      <c r="E24" s="6"/>
      <c r="F24" s="1"/>
      <c r="G24" s="6"/>
      <c r="H24" s="192"/>
      <c r="I24" s="193"/>
      <c r="J24" s="194"/>
      <c r="K24" s="195"/>
      <c r="L24" s="205"/>
      <c r="M24" s="196">
        <f>T45</f>
        <v>13.87946794520548</v>
      </c>
      <c r="N24" s="197" t="s">
        <v>76</v>
      </c>
      <c r="O24" s="196">
        <f>L23-M24</f>
        <v>-0.19999999999999929</v>
      </c>
      <c r="P24" s="198">
        <f>L23-L$8</f>
        <v>2.0294679452054805</v>
      </c>
      <c r="Q24" s="6"/>
      <c r="S24" s="6"/>
      <c r="T24" s="6"/>
      <c r="U24" s="1"/>
    </row>
    <row r="25" spans="1:21" ht="15.6" x14ac:dyDescent="0.3">
      <c r="A25" s="9"/>
      <c r="B25" s="6"/>
      <c r="C25" s="6"/>
      <c r="D25" s="1"/>
      <c r="E25" s="6"/>
      <c r="F25" s="1"/>
      <c r="G25" s="6"/>
      <c r="H25" s="6"/>
      <c r="I25" s="6"/>
      <c r="J25" s="39"/>
      <c r="K25" s="40"/>
      <c r="L25" s="75"/>
      <c r="M25" s="51"/>
      <c r="N25" s="42"/>
      <c r="O25" s="51"/>
      <c r="P25" s="51"/>
      <c r="Q25" s="6"/>
      <c r="R25" s="6"/>
      <c r="S25" s="6"/>
      <c r="T25" s="6"/>
      <c r="U25" s="1"/>
    </row>
    <row r="26" spans="1:21" ht="15.6" x14ac:dyDescent="0.3">
      <c r="A26" s="9"/>
      <c r="B26" s="6"/>
      <c r="C26" s="6"/>
      <c r="D26" s="1"/>
      <c r="E26" s="6"/>
      <c r="F26" s="1"/>
      <c r="G26" s="6"/>
      <c r="H26" s="6"/>
      <c r="I26" s="6"/>
      <c r="J26" s="39"/>
      <c r="K26" s="40"/>
      <c r="L26" s="75"/>
      <c r="M26" s="51"/>
      <c r="N26" s="42"/>
      <c r="O26" s="51"/>
      <c r="P26" s="51"/>
      <c r="Q26" s="6"/>
      <c r="R26" s="6"/>
      <c r="S26" s="6"/>
      <c r="T26" s="6"/>
      <c r="U26" s="1"/>
    </row>
    <row r="27" spans="1:21" ht="15.6" x14ac:dyDescent="0.3">
      <c r="A27" s="9"/>
      <c r="B27" s="6"/>
      <c r="C27" s="6"/>
      <c r="D27" s="1"/>
      <c r="E27" s="6"/>
      <c r="F27" s="1"/>
      <c r="G27" s="6"/>
      <c r="H27" s="6"/>
      <c r="I27" s="6"/>
      <c r="J27" s="39"/>
      <c r="K27" s="40"/>
      <c r="L27" s="75"/>
      <c r="M27" s="51"/>
      <c r="N27" s="42"/>
      <c r="O27" s="51"/>
      <c r="P27" s="51"/>
      <c r="Q27" s="6"/>
      <c r="R27" s="6"/>
      <c r="S27" s="6"/>
      <c r="T27" s="6"/>
      <c r="U27" s="1"/>
    </row>
    <row r="28" spans="1:21" ht="15.6" x14ac:dyDescent="0.3">
      <c r="A28" s="9"/>
      <c r="B28" s="6"/>
      <c r="C28" s="6"/>
      <c r="D28" s="1"/>
      <c r="E28" s="6"/>
      <c r="F28" s="1"/>
      <c r="G28" s="6"/>
      <c r="H28" s="6"/>
      <c r="I28" s="6"/>
      <c r="J28" s="39"/>
      <c r="K28" s="40"/>
      <c r="L28" s="75"/>
      <c r="M28" s="51"/>
      <c r="N28" s="42"/>
      <c r="O28" s="51"/>
      <c r="P28" s="51"/>
      <c r="Q28" s="6"/>
      <c r="R28" s="6"/>
      <c r="S28" s="6"/>
      <c r="T28" s="6"/>
      <c r="U28" s="1"/>
    </row>
    <row r="29" spans="1:21" ht="15.6" x14ac:dyDescent="0.3">
      <c r="A29" s="9"/>
      <c r="B29" s="6"/>
      <c r="C29" s="6"/>
      <c r="D29" s="1"/>
      <c r="E29" s="6"/>
      <c r="F29" s="1"/>
      <c r="G29" s="6"/>
      <c r="H29" s="6"/>
      <c r="I29" s="6"/>
      <c r="J29" s="39"/>
      <c r="K29" s="40"/>
      <c r="L29" s="75"/>
      <c r="M29" s="51"/>
      <c r="N29" s="42"/>
      <c r="O29" s="51"/>
      <c r="P29" s="51"/>
      <c r="Q29" s="6"/>
      <c r="R29" s="6"/>
      <c r="S29" s="6"/>
      <c r="T29" s="6"/>
      <c r="U29" s="1"/>
    </row>
    <row r="30" spans="1:21" ht="15.6" x14ac:dyDescent="0.3">
      <c r="A30" s="9"/>
      <c r="B30" s="6"/>
      <c r="C30" s="6"/>
      <c r="D30" s="1"/>
      <c r="E30" s="6"/>
      <c r="F30" s="1"/>
      <c r="G30" s="6"/>
      <c r="H30" s="6"/>
      <c r="I30" s="6"/>
      <c r="J30" s="39"/>
      <c r="K30" s="40"/>
      <c r="L30" s="75"/>
      <c r="M30" s="51"/>
      <c r="N30" s="42"/>
      <c r="O30" s="51"/>
      <c r="P30" s="51"/>
      <c r="Q30" s="6"/>
      <c r="R30" s="6"/>
      <c r="S30" s="6"/>
      <c r="T30" s="6"/>
      <c r="U30" s="1"/>
    </row>
    <row r="31" spans="1:21" ht="15.6" x14ac:dyDescent="0.3">
      <c r="A31" s="9"/>
      <c r="B31" s="6"/>
      <c r="C31" s="6"/>
      <c r="D31" s="1"/>
      <c r="E31" s="6"/>
      <c r="F31" s="1"/>
      <c r="G31" s="6"/>
      <c r="H31" s="6"/>
      <c r="I31" s="6"/>
      <c r="J31" s="39"/>
      <c r="K31" s="40"/>
      <c r="L31" s="75"/>
      <c r="M31" s="51"/>
      <c r="N31" s="42"/>
      <c r="O31" s="51"/>
      <c r="P31" s="51"/>
      <c r="Q31" s="6"/>
      <c r="R31" s="6"/>
      <c r="S31" s="6"/>
      <c r="T31" s="6"/>
      <c r="U31" s="1"/>
    </row>
    <row r="32" spans="1:21" ht="15.6" x14ac:dyDescent="0.3">
      <c r="A32" s="9" t="s">
        <v>22</v>
      </c>
      <c r="B32" s="6"/>
      <c r="C32" s="6"/>
      <c r="D32" s="1" t="str">
        <f>B2</f>
        <v>2022 Soys</v>
      </c>
      <c r="E32" s="6"/>
      <c r="F32" s="1"/>
      <c r="G32" s="6"/>
      <c r="H32" s="6"/>
      <c r="I32" s="6"/>
      <c r="J32" s="39"/>
      <c r="K32" s="40"/>
      <c r="L32" s="75"/>
      <c r="M32" s="51"/>
      <c r="N32" s="42"/>
      <c r="O32" s="51"/>
      <c r="P32" s="51"/>
      <c r="Q32" s="6"/>
      <c r="R32" s="6"/>
      <c r="S32" s="6"/>
      <c r="T32" s="6"/>
      <c r="U32" s="1"/>
    </row>
    <row r="33" spans="1:21" ht="15.6" x14ac:dyDescent="0.3">
      <c r="A33" s="10" t="s">
        <v>23</v>
      </c>
      <c r="B33" s="11" t="s">
        <v>24</v>
      </c>
      <c r="C33" s="12"/>
      <c r="D33" s="13"/>
      <c r="E33" s="11" t="s">
        <v>25</v>
      </c>
      <c r="F33" s="12"/>
      <c r="G33" s="13"/>
      <c r="H33" s="11" t="s">
        <v>26</v>
      </c>
      <c r="I33" s="12"/>
      <c r="J33" s="13"/>
      <c r="K33" s="11" t="s">
        <v>27</v>
      </c>
      <c r="L33" s="12"/>
      <c r="M33" s="12"/>
      <c r="N33" s="12"/>
      <c r="O33" s="11" t="s">
        <v>28</v>
      </c>
      <c r="P33" s="12"/>
      <c r="Q33" s="13"/>
      <c r="R33" s="11" t="s">
        <v>182</v>
      </c>
      <c r="S33" s="12"/>
      <c r="T33" s="13"/>
      <c r="U33" s="1"/>
    </row>
    <row r="34" spans="1:21" ht="15.6" x14ac:dyDescent="0.3">
      <c r="A34" s="14">
        <f>B4</f>
        <v>44618</v>
      </c>
      <c r="B34" s="15"/>
      <c r="C34" s="16"/>
      <c r="D34" s="1"/>
      <c r="E34" s="1" t="str">
        <f>B3</f>
        <v>Toledo OH</v>
      </c>
      <c r="F34" s="1"/>
      <c r="G34" s="1"/>
      <c r="H34" s="15"/>
      <c r="I34" s="16"/>
      <c r="J34" s="17"/>
      <c r="K34" s="15"/>
      <c r="L34" s="16"/>
      <c r="M34" s="16"/>
      <c r="N34" s="16"/>
      <c r="O34" s="18" t="s">
        <v>30</v>
      </c>
      <c r="P34" s="16"/>
      <c r="Q34" s="19"/>
      <c r="R34" s="18" t="s">
        <v>31</v>
      </c>
      <c r="S34" s="16"/>
      <c r="T34" s="19"/>
      <c r="U34" s="1"/>
    </row>
    <row r="35" spans="1:21" ht="15.6" x14ac:dyDescent="0.3">
      <c r="A35" s="1"/>
      <c r="B35" s="20" t="s">
        <v>32</v>
      </c>
      <c r="C35" s="21"/>
      <c r="D35" s="17">
        <f>B7</f>
        <v>10</v>
      </c>
      <c r="E35" s="1" t="s">
        <v>33</v>
      </c>
      <c r="F35" s="1"/>
      <c r="G35" s="17">
        <f>B8</f>
        <v>13.8</v>
      </c>
      <c r="H35" s="22">
        <f>K1</f>
        <v>44866</v>
      </c>
      <c r="I35" s="23" t="s">
        <v>3</v>
      </c>
      <c r="J35" s="17">
        <f>B9</f>
        <v>14.15</v>
      </c>
      <c r="K35" s="20" t="s">
        <v>34</v>
      </c>
      <c r="L35" s="21"/>
      <c r="M35" s="17">
        <f>C16</f>
        <v>14</v>
      </c>
      <c r="N35" s="17">
        <f>C15</f>
        <v>14.2</v>
      </c>
      <c r="O35" s="20" t="s">
        <v>34</v>
      </c>
      <c r="P35" s="21"/>
      <c r="Q35" s="17">
        <f>C17</f>
        <v>14.399999999999999</v>
      </c>
      <c r="R35" s="20" t="s">
        <v>35</v>
      </c>
      <c r="S35" s="21"/>
      <c r="T35" s="24">
        <f>N35</f>
        <v>14.2</v>
      </c>
      <c r="U35" s="1"/>
    </row>
    <row r="36" spans="1:21" ht="15.6" x14ac:dyDescent="0.3">
      <c r="A36" s="6"/>
      <c r="B36" s="25"/>
      <c r="C36" s="21"/>
      <c r="D36" s="1"/>
      <c r="E36" s="1"/>
      <c r="F36" s="1"/>
      <c r="G36" s="1"/>
      <c r="H36" s="25"/>
      <c r="I36" s="21"/>
      <c r="J36" s="17"/>
      <c r="K36" s="25"/>
      <c r="L36" s="21"/>
      <c r="M36" s="17"/>
      <c r="N36" s="17"/>
      <c r="O36" s="25"/>
      <c r="P36" s="21"/>
      <c r="Q36" s="17"/>
      <c r="R36" s="20" t="s">
        <v>36</v>
      </c>
      <c r="S36" s="21"/>
      <c r="T36" s="24">
        <f>Q35</f>
        <v>14.399999999999999</v>
      </c>
      <c r="U36" s="1"/>
    </row>
    <row r="37" spans="1:21" ht="15.6" x14ac:dyDescent="0.3">
      <c r="A37" s="6"/>
      <c r="B37" s="20" t="s">
        <v>37</v>
      </c>
      <c r="C37" s="21"/>
      <c r="D37" s="17"/>
      <c r="E37" s="25"/>
      <c r="F37" s="21"/>
      <c r="G37" s="24"/>
      <c r="H37" s="1"/>
      <c r="I37" s="26" t="s">
        <v>38</v>
      </c>
      <c r="J37" s="17">
        <f>B10</f>
        <v>-0.34999999999999964</v>
      </c>
      <c r="K37" s="20" t="s">
        <v>39</v>
      </c>
      <c r="L37" s="21"/>
      <c r="M37" s="17">
        <f>B16</f>
        <v>0.95499999999999996</v>
      </c>
      <c r="N37" s="17">
        <f>B15</f>
        <v>1.0725</v>
      </c>
      <c r="O37" s="20" t="s">
        <v>25</v>
      </c>
      <c r="P37" s="21"/>
      <c r="Q37" s="17">
        <f>G35</f>
        <v>13.8</v>
      </c>
      <c r="R37" s="25"/>
      <c r="S37" s="21"/>
      <c r="T37" s="17"/>
      <c r="U37" s="1"/>
    </row>
    <row r="38" spans="1:21" ht="15.6" x14ac:dyDescent="0.3">
      <c r="A38" s="6"/>
      <c r="B38" s="22">
        <f>H35</f>
        <v>44866</v>
      </c>
      <c r="C38" s="21"/>
      <c r="D38" s="17">
        <f>G35-J35</f>
        <v>-0.34999999999999964</v>
      </c>
      <c r="E38" s="25"/>
      <c r="F38" s="21"/>
      <c r="G38" s="17"/>
      <c r="H38" s="25"/>
      <c r="I38" s="21"/>
      <c r="J38" s="17"/>
      <c r="K38" s="25"/>
      <c r="L38" s="21"/>
      <c r="M38" s="21"/>
      <c r="N38" s="21"/>
      <c r="O38" s="25"/>
      <c r="P38" s="21"/>
      <c r="Q38" s="17"/>
      <c r="R38" s="20" t="s">
        <v>40</v>
      </c>
      <c r="S38" s="21"/>
      <c r="T38" s="24">
        <f>N37</f>
        <v>1.0725</v>
      </c>
      <c r="U38" s="1"/>
    </row>
    <row r="39" spans="1:21" ht="15.6" x14ac:dyDescent="0.3">
      <c r="A39" s="6"/>
      <c r="B39" s="20" t="s">
        <v>41</v>
      </c>
      <c r="C39" s="21"/>
      <c r="D39" s="17">
        <f>B6</f>
        <v>0</v>
      </c>
      <c r="E39" s="25"/>
      <c r="F39" s="21"/>
      <c r="G39" s="17"/>
      <c r="H39" s="1"/>
      <c r="I39" s="26" t="s">
        <v>42</v>
      </c>
      <c r="J39" s="17">
        <f>B11</f>
        <v>0.02</v>
      </c>
      <c r="K39" s="20" t="s">
        <v>43</v>
      </c>
      <c r="L39" s="21"/>
      <c r="M39" s="21">
        <f>J37</f>
        <v>-0.34999999999999964</v>
      </c>
      <c r="N39" s="21">
        <f>J37</f>
        <v>-0.34999999999999964</v>
      </c>
      <c r="O39" s="20" t="s">
        <v>39</v>
      </c>
      <c r="P39" s="21"/>
      <c r="Q39" s="17">
        <f>B17</f>
        <v>0.94499999999999995</v>
      </c>
      <c r="R39" s="20" t="s">
        <v>44</v>
      </c>
      <c r="S39" s="21"/>
      <c r="T39" s="24">
        <f>Q39</f>
        <v>0.94499999999999995</v>
      </c>
      <c r="U39" s="1"/>
    </row>
    <row r="40" spans="1:21" ht="15.6" x14ac:dyDescent="0.3">
      <c r="A40" s="6"/>
      <c r="B40" s="27"/>
      <c r="C40" s="28"/>
      <c r="D40" s="17"/>
      <c r="E40" s="25"/>
      <c r="F40" s="21"/>
      <c r="G40" s="17"/>
      <c r="H40" s="25"/>
      <c r="I40" s="56" t="s">
        <v>155</v>
      </c>
      <c r="J40" s="17">
        <f>B12*B13/365*E5</f>
        <v>0</v>
      </c>
      <c r="K40" s="25"/>
      <c r="L40" s="56" t="s">
        <v>156</v>
      </c>
      <c r="M40" s="21">
        <f>M37*$B13/365*$E$5</f>
        <v>2.2710684931506853E-2</v>
      </c>
      <c r="N40" s="21">
        <f>N37*$B13/365*$E$5</f>
        <v>2.5504931506849318E-2</v>
      </c>
      <c r="O40" s="25"/>
      <c r="P40" s="56" t="s">
        <v>156</v>
      </c>
      <c r="Q40" s="21">
        <f>Q39*$B13/365*$E$5</f>
        <v>2.2472876712328768E-2</v>
      </c>
      <c r="R40" s="25"/>
      <c r="S40" s="56" t="s">
        <v>156</v>
      </c>
      <c r="T40" s="21">
        <f>(T38-T39)*$B13/365*$E$5</f>
        <v>3.0320547945205494E-3</v>
      </c>
      <c r="U40" s="1"/>
    </row>
    <row r="41" spans="1:21" ht="15.6" x14ac:dyDescent="0.3">
      <c r="A41" s="6"/>
      <c r="B41" s="25"/>
      <c r="C41" s="29"/>
      <c r="D41" s="17"/>
      <c r="E41" s="25"/>
      <c r="F41" s="21"/>
      <c r="G41" s="17"/>
      <c r="H41" s="20" t="s">
        <v>45</v>
      </c>
      <c r="I41" s="21"/>
      <c r="J41" s="17"/>
      <c r="K41" s="20" t="s">
        <v>42</v>
      </c>
      <c r="L41" s="21"/>
      <c r="M41" s="21">
        <f>J39</f>
        <v>0.02</v>
      </c>
      <c r="N41" s="21">
        <f>J39</f>
        <v>0.02</v>
      </c>
      <c r="O41" s="20" t="s">
        <v>42</v>
      </c>
      <c r="P41" s="21"/>
      <c r="Q41" s="17">
        <f>J39</f>
        <v>0.02</v>
      </c>
      <c r="R41" s="20" t="s">
        <v>43</v>
      </c>
      <c r="S41" s="21"/>
      <c r="T41" s="17">
        <f>J37</f>
        <v>-0.34999999999999964</v>
      </c>
      <c r="U41" s="1"/>
    </row>
    <row r="42" spans="1:21" ht="15.6" x14ac:dyDescent="0.3">
      <c r="A42" s="6"/>
      <c r="B42" s="20" t="s">
        <v>46</v>
      </c>
      <c r="C42" s="21"/>
      <c r="D42" s="17"/>
      <c r="E42" s="25"/>
      <c r="F42" s="21"/>
      <c r="G42" s="17"/>
      <c r="H42" s="20" t="s">
        <v>47</v>
      </c>
      <c r="I42" s="21"/>
      <c r="J42" s="17">
        <f>J35+J37-J39-J40</f>
        <v>13.780000000000001</v>
      </c>
      <c r="O42" s="25"/>
      <c r="P42" s="21"/>
      <c r="Q42" s="17"/>
      <c r="R42" s="20" t="s">
        <v>48</v>
      </c>
      <c r="S42" s="21"/>
      <c r="T42" s="17">
        <f>J39*2</f>
        <v>0.04</v>
      </c>
      <c r="U42" s="1"/>
    </row>
    <row r="43" spans="1:21" ht="15.6" x14ac:dyDescent="0.3">
      <c r="A43" s="6"/>
      <c r="B43" s="20" t="s">
        <v>19</v>
      </c>
      <c r="C43" s="21"/>
      <c r="D43" s="17">
        <f>B20</f>
        <v>15.180000000000001</v>
      </c>
      <c r="E43" s="25"/>
      <c r="F43" s="21"/>
      <c r="G43" s="17"/>
      <c r="H43" s="25"/>
      <c r="I43" s="21"/>
      <c r="J43" s="17"/>
      <c r="K43" s="20" t="s">
        <v>49</v>
      </c>
      <c r="L43" s="21"/>
      <c r="M43" s="21"/>
      <c r="N43" s="21"/>
      <c r="O43" s="20" t="s">
        <v>50</v>
      </c>
      <c r="P43" s="21"/>
      <c r="Q43" s="17"/>
      <c r="R43" s="20" t="s">
        <v>51</v>
      </c>
      <c r="S43" s="21"/>
      <c r="T43" s="17"/>
      <c r="U43" s="1"/>
    </row>
    <row r="44" spans="1:21" ht="15.6" x14ac:dyDescent="0.3">
      <c r="A44" s="6"/>
      <c r="B44" s="20" t="s">
        <v>20</v>
      </c>
      <c r="C44" s="21"/>
      <c r="D44" s="17">
        <f>B21</f>
        <v>13.8</v>
      </c>
      <c r="E44" s="25"/>
      <c r="F44" s="21"/>
      <c r="G44" s="17"/>
      <c r="H44" s="25"/>
      <c r="I44" s="21"/>
      <c r="J44" s="17"/>
      <c r="K44" s="20" t="s">
        <v>52</v>
      </c>
      <c r="L44" s="21"/>
      <c r="M44" s="21"/>
      <c r="N44" s="21"/>
      <c r="O44" s="20" t="s">
        <v>52</v>
      </c>
      <c r="P44" s="21"/>
      <c r="Q44" s="17"/>
      <c r="R44" s="20" t="s">
        <v>53</v>
      </c>
      <c r="S44" s="21"/>
      <c r="T44" s="17">
        <f>T35-T38+T39+T41-T42-T40</f>
        <v>13.679467945205481</v>
      </c>
      <c r="U44" s="1"/>
    </row>
    <row r="45" spans="1:21" ht="15.6" x14ac:dyDescent="0.3">
      <c r="A45" s="9"/>
      <c r="B45" s="18" t="s">
        <v>21</v>
      </c>
      <c r="C45" s="16"/>
      <c r="D45" s="17">
        <f>B22</f>
        <v>12.420000000000002</v>
      </c>
      <c r="E45" s="15"/>
      <c r="F45" s="16"/>
      <c r="G45" s="19"/>
      <c r="H45" s="15"/>
      <c r="I45" s="16"/>
      <c r="J45" s="19"/>
      <c r="K45" s="18" t="s">
        <v>47</v>
      </c>
      <c r="L45" s="30" t="s">
        <v>54</v>
      </c>
      <c r="M45" s="16">
        <f>M35-M37+M39-M41-M40</f>
        <v>12.652289315068494</v>
      </c>
      <c r="N45" s="16">
        <f>N35-N37+N39-N41-N40</f>
        <v>12.73199506849315</v>
      </c>
      <c r="O45" s="18" t="s">
        <v>47</v>
      </c>
      <c r="P45" s="16"/>
      <c r="Q45" s="19">
        <f>Q37-Q39-Q41</f>
        <v>12.835000000000001</v>
      </c>
      <c r="R45" s="18" t="s">
        <v>55</v>
      </c>
      <c r="S45" s="16"/>
      <c r="T45" s="19">
        <f>T36-T38+T39+T41-T42-T40</f>
        <v>13.87946794520548</v>
      </c>
      <c r="U45" s="1"/>
    </row>
    <row r="46" spans="1:21" ht="15.6" x14ac:dyDescent="0.3">
      <c r="A46" s="31"/>
      <c r="B46" s="20" t="s">
        <v>56</v>
      </c>
      <c r="C46" s="21"/>
      <c r="D46" s="17">
        <f>K2+K3</f>
        <v>11.65</v>
      </c>
      <c r="E46" s="20" t="s">
        <v>25</v>
      </c>
      <c r="F46" s="21"/>
      <c r="G46" s="17">
        <f>G35</f>
        <v>13.8</v>
      </c>
      <c r="H46" s="20" t="s">
        <v>57</v>
      </c>
      <c r="I46" s="21"/>
      <c r="J46" s="17">
        <f>D47</f>
        <v>12</v>
      </c>
      <c r="K46" s="20" t="s">
        <v>39</v>
      </c>
      <c r="L46" s="21"/>
      <c r="M46" s="21">
        <f>IF(J46&lt;M35,M35-J46,0)</f>
        <v>2</v>
      </c>
      <c r="N46" s="21">
        <f>IF(J46&lt;N35,N35-J46,0)</f>
        <v>2.1999999999999993</v>
      </c>
      <c r="O46" s="20" t="s">
        <v>39</v>
      </c>
      <c r="P46" s="21"/>
      <c r="Q46" s="17">
        <f>IF(J46&gt;Q35,J46-Q35,0)</f>
        <v>0</v>
      </c>
      <c r="R46" s="20" t="s">
        <v>40</v>
      </c>
      <c r="S46" s="21"/>
      <c r="T46" s="17">
        <f>IF(J46&lt;T35,T35-J46,0)</f>
        <v>2.1999999999999993</v>
      </c>
      <c r="U46" s="1"/>
    </row>
    <row r="47" spans="1:21" ht="15.6" x14ac:dyDescent="0.3">
      <c r="A47" s="6"/>
      <c r="B47" s="20" t="s">
        <v>57</v>
      </c>
      <c r="C47" s="21"/>
      <c r="D47" s="17">
        <f>K2</f>
        <v>12</v>
      </c>
      <c r="E47" s="25"/>
      <c r="F47" s="21"/>
      <c r="G47" s="17"/>
      <c r="H47" s="25"/>
      <c r="I47" s="21"/>
      <c r="J47" s="17"/>
      <c r="K47" s="25"/>
      <c r="L47" s="21"/>
      <c r="M47" s="21"/>
      <c r="N47" s="21"/>
      <c r="O47" s="25"/>
      <c r="P47" s="21"/>
      <c r="Q47" s="17"/>
      <c r="R47" s="25"/>
      <c r="S47" s="21"/>
      <c r="T47" s="17"/>
      <c r="U47" s="1"/>
    </row>
    <row r="48" spans="1:21" ht="15.6" x14ac:dyDescent="0.3">
      <c r="A48" s="32"/>
      <c r="B48" s="18" t="s">
        <v>58</v>
      </c>
      <c r="C48" s="16"/>
      <c r="D48" s="17">
        <f>D47+D38</f>
        <v>11.65</v>
      </c>
      <c r="E48" s="15"/>
      <c r="F48" s="16"/>
      <c r="G48" s="19"/>
      <c r="H48" s="18" t="s">
        <v>59</v>
      </c>
      <c r="I48" s="16"/>
      <c r="J48" s="19">
        <f>D46-J46</f>
        <v>-0.34999999999999964</v>
      </c>
      <c r="K48" s="15"/>
      <c r="L48" s="16"/>
      <c r="M48" s="16"/>
      <c r="N48" s="16"/>
      <c r="O48" s="15"/>
      <c r="P48" s="16"/>
      <c r="Q48" s="19"/>
      <c r="R48" s="18" t="s">
        <v>60</v>
      </c>
      <c r="S48" s="16"/>
      <c r="T48" s="19">
        <f>IF(J46&gt;T36,J46-T36,0)</f>
        <v>0</v>
      </c>
      <c r="U48" s="1"/>
    </row>
    <row r="49" spans="1:21" ht="15.6" x14ac:dyDescent="0.3">
      <c r="A49" s="6"/>
      <c r="B49" s="25"/>
      <c r="C49" s="21"/>
      <c r="D49" s="17"/>
      <c r="E49" s="25"/>
      <c r="F49" s="21"/>
      <c r="G49" s="17"/>
      <c r="H49" s="20" t="s">
        <v>56</v>
      </c>
      <c r="I49" s="21"/>
      <c r="J49" s="17">
        <f>D46</f>
        <v>11.65</v>
      </c>
      <c r="K49" s="20" t="s">
        <v>56</v>
      </c>
      <c r="L49" s="21"/>
      <c r="M49" s="21">
        <f>D46</f>
        <v>11.65</v>
      </c>
      <c r="N49" s="21">
        <f>D46</f>
        <v>11.65</v>
      </c>
      <c r="O49" s="20" t="s">
        <v>25</v>
      </c>
      <c r="P49" s="21"/>
      <c r="Q49" s="17">
        <f>G35</f>
        <v>13.8</v>
      </c>
      <c r="R49" s="20" t="s">
        <v>56</v>
      </c>
      <c r="S49" s="21"/>
      <c r="T49" s="17">
        <f>D46</f>
        <v>11.65</v>
      </c>
      <c r="U49" s="1"/>
    </row>
    <row r="50" spans="1:21" ht="15.6" x14ac:dyDescent="0.3">
      <c r="A50" s="6"/>
      <c r="B50" s="25"/>
      <c r="C50" s="21"/>
      <c r="D50" s="17"/>
      <c r="E50" s="25"/>
      <c r="F50" s="21"/>
      <c r="G50" s="17"/>
      <c r="H50" s="25"/>
      <c r="I50" s="21"/>
      <c r="J50" s="17"/>
      <c r="K50" s="25"/>
      <c r="L50" s="21"/>
      <c r="M50" s="21"/>
      <c r="N50" s="21"/>
      <c r="O50" s="25"/>
      <c r="P50" s="21"/>
      <c r="Q50" s="17"/>
      <c r="R50" s="25"/>
      <c r="S50" s="21"/>
      <c r="T50" s="17"/>
      <c r="U50" s="1"/>
    </row>
    <row r="51" spans="1:21" ht="15.6" x14ac:dyDescent="0.3">
      <c r="A51" s="6"/>
      <c r="B51" s="25"/>
      <c r="C51" s="21"/>
      <c r="D51" s="17"/>
      <c r="E51" s="25"/>
      <c r="F51" s="21"/>
      <c r="G51" s="17"/>
      <c r="H51" s="20" t="s">
        <v>61</v>
      </c>
      <c r="I51" s="21"/>
      <c r="J51" s="17">
        <f>J35-J46</f>
        <v>2.1500000000000004</v>
      </c>
      <c r="K51" s="20" t="s">
        <v>62</v>
      </c>
      <c r="L51" s="21"/>
      <c r="M51" s="21">
        <f>M46-M37</f>
        <v>1.0449999999999999</v>
      </c>
      <c r="N51" s="21">
        <f>N46-N37</f>
        <v>1.1274999999999993</v>
      </c>
      <c r="O51" s="20" t="s">
        <v>62</v>
      </c>
      <c r="P51" s="21"/>
      <c r="Q51" s="17">
        <f>Q46-Q39</f>
        <v>-0.94499999999999995</v>
      </c>
      <c r="R51" s="20" t="s">
        <v>62</v>
      </c>
      <c r="S51" s="21"/>
      <c r="T51" s="17">
        <f>T46-T48-T38+T39</f>
        <v>2.0724999999999993</v>
      </c>
      <c r="U51" s="1"/>
    </row>
    <row r="52" spans="1:21" ht="15.6" x14ac:dyDescent="0.3">
      <c r="A52" s="6"/>
      <c r="B52" s="25"/>
      <c r="C52" s="21"/>
      <c r="D52" s="17"/>
      <c r="E52" s="25"/>
      <c r="F52" s="21"/>
      <c r="G52" s="17"/>
      <c r="H52" s="25"/>
      <c r="I52" s="21"/>
      <c r="J52" s="17"/>
      <c r="K52" s="25"/>
      <c r="L52" s="21"/>
      <c r="M52" s="21"/>
      <c r="N52" s="21"/>
      <c r="O52" s="25"/>
      <c r="P52" s="21"/>
      <c r="Q52" s="17"/>
      <c r="R52" s="25"/>
      <c r="S52" s="21"/>
      <c r="T52" s="17"/>
      <c r="U52" s="1"/>
    </row>
    <row r="53" spans="1:21" ht="15.6" x14ac:dyDescent="0.3">
      <c r="A53" s="6"/>
      <c r="B53" s="25"/>
      <c r="C53" s="21"/>
      <c r="D53" s="17"/>
      <c r="E53" s="25"/>
      <c r="F53" s="21"/>
      <c r="G53" s="17"/>
      <c r="H53" s="20" t="s">
        <v>48</v>
      </c>
      <c r="I53" s="21"/>
      <c r="J53" s="17">
        <f>J39</f>
        <v>0.02</v>
      </c>
      <c r="K53" s="20" t="s">
        <v>48</v>
      </c>
      <c r="L53" s="21"/>
      <c r="M53" s="21">
        <f>J39</f>
        <v>0.02</v>
      </c>
      <c r="N53" s="21">
        <f>J39</f>
        <v>0.02</v>
      </c>
      <c r="O53" s="20" t="s">
        <v>48</v>
      </c>
      <c r="P53" s="21"/>
      <c r="Q53" s="17">
        <f>J39</f>
        <v>0.02</v>
      </c>
      <c r="R53" s="20" t="s">
        <v>48</v>
      </c>
      <c r="S53" s="21"/>
      <c r="T53" s="17">
        <f>T42</f>
        <v>0.04</v>
      </c>
      <c r="U53" s="1"/>
    </row>
    <row r="54" spans="1:21" ht="15.6" x14ac:dyDescent="0.3">
      <c r="A54" s="6"/>
      <c r="B54" s="25"/>
      <c r="C54" s="21"/>
      <c r="D54" s="17"/>
      <c r="E54" s="25"/>
      <c r="F54" s="21"/>
      <c r="G54" s="17"/>
      <c r="H54" s="25"/>
      <c r="I54" s="56" t="s">
        <v>155</v>
      </c>
      <c r="J54" s="17">
        <f>(J46-J35+B12)*$B$13/365*$E$5</f>
        <v>-5.1128767123287684E-2</v>
      </c>
      <c r="K54" s="25"/>
      <c r="L54" s="56" t="s">
        <v>156</v>
      </c>
      <c r="M54" s="17">
        <f>M40</f>
        <v>2.2710684931506853E-2</v>
      </c>
      <c r="N54" s="21">
        <f>N40</f>
        <v>2.5504931506849318E-2</v>
      </c>
      <c r="O54" s="25"/>
      <c r="P54" s="56" t="s">
        <v>156</v>
      </c>
      <c r="Q54" s="17">
        <f>Q40</f>
        <v>2.2472876712328768E-2</v>
      </c>
      <c r="R54" s="25"/>
      <c r="S54" s="56" t="s">
        <v>156</v>
      </c>
      <c r="T54" s="17">
        <f>T40+(T48*B13/365*E5)</f>
        <v>3.0320547945205494E-3</v>
      </c>
      <c r="U54" s="1"/>
    </row>
    <row r="55" spans="1:21" ht="15.6" x14ac:dyDescent="0.3">
      <c r="A55" s="6"/>
      <c r="B55" s="76" t="s">
        <v>56</v>
      </c>
      <c r="C55" s="77"/>
      <c r="D55" s="78">
        <f>D46</f>
        <v>11.65</v>
      </c>
      <c r="E55" s="76" t="s">
        <v>25</v>
      </c>
      <c r="F55" s="77"/>
      <c r="G55" s="78">
        <f>G46</f>
        <v>13.8</v>
      </c>
      <c r="H55" s="76" t="s">
        <v>63</v>
      </c>
      <c r="I55" s="77"/>
      <c r="J55" s="79">
        <f>J49+J51-J53-J54</f>
        <v>13.831128767123289</v>
      </c>
      <c r="K55" s="76" t="s">
        <v>63</v>
      </c>
      <c r="L55" s="77"/>
      <c r="M55" s="80">
        <f>M49+M51-M53-M54</f>
        <v>12.652289315068494</v>
      </c>
      <c r="N55" s="80">
        <f>N49+N51-N53-N54</f>
        <v>12.73199506849315</v>
      </c>
      <c r="O55" s="76" t="s">
        <v>63</v>
      </c>
      <c r="P55" s="77"/>
      <c r="Q55" s="79">
        <f>Q49+Q51-Q53-Q54</f>
        <v>12.812527123287673</v>
      </c>
      <c r="R55" s="76" t="s">
        <v>63</v>
      </c>
      <c r="S55" s="77"/>
      <c r="T55" s="79">
        <f>T49+T51-T53-T54</f>
        <v>13.679467945205481</v>
      </c>
      <c r="U55" s="1"/>
    </row>
    <row r="56" spans="1:21" ht="15.6" x14ac:dyDescent="0.3">
      <c r="A56" s="6"/>
      <c r="B56" s="23"/>
      <c r="C56" s="21"/>
      <c r="D56" s="21"/>
      <c r="E56" s="23"/>
      <c r="F56" s="21"/>
      <c r="G56" s="21"/>
      <c r="H56" s="23"/>
      <c r="I56" s="21"/>
      <c r="J56" s="21"/>
      <c r="K56" s="23"/>
      <c r="L56" s="21"/>
      <c r="M56" s="21"/>
      <c r="N56" s="6"/>
      <c r="O56" s="6"/>
      <c r="P56" s="6"/>
      <c r="Q56" s="6"/>
      <c r="R56" s="6"/>
      <c r="S56" s="6"/>
      <c r="T56" s="6"/>
      <c r="U56" s="6"/>
    </row>
    <row r="57" spans="1:21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6" x14ac:dyDescent="0.3">
      <c r="A58" s="9" t="s">
        <v>22</v>
      </c>
      <c r="B58" s="6"/>
      <c r="C58" s="6"/>
      <c r="D58" s="1"/>
      <c r="E58" s="6"/>
      <c r="F58" s="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"/>
    </row>
    <row r="59" spans="1:21" ht="15.6" x14ac:dyDescent="0.3">
      <c r="A59" s="10" t="s">
        <v>23</v>
      </c>
      <c r="B59" s="11" t="s">
        <v>24</v>
      </c>
      <c r="C59" s="12"/>
      <c r="D59" s="13"/>
      <c r="E59" s="11" t="s">
        <v>25</v>
      </c>
      <c r="F59" s="12"/>
      <c r="G59" s="13"/>
      <c r="H59" s="11" t="s">
        <v>26</v>
      </c>
      <c r="I59" s="12"/>
      <c r="J59" s="13"/>
      <c r="K59" s="11" t="s">
        <v>27</v>
      </c>
      <c r="L59" s="12"/>
      <c r="M59" s="12"/>
      <c r="N59" s="13"/>
      <c r="O59" s="11" t="s">
        <v>28</v>
      </c>
      <c r="P59" s="12"/>
      <c r="Q59" s="13"/>
      <c r="R59" s="63" t="s">
        <v>29</v>
      </c>
      <c r="S59" s="12"/>
      <c r="T59" s="13"/>
      <c r="U59" s="1"/>
    </row>
    <row r="60" spans="1:21" ht="15.6" x14ac:dyDescent="0.3">
      <c r="A60" s="61" t="s">
        <v>159</v>
      </c>
      <c r="B60" s="15"/>
      <c r="C60" s="16"/>
      <c r="D60" s="46"/>
      <c r="E60" s="27"/>
      <c r="F60" s="28"/>
      <c r="G60" s="46"/>
      <c r="H60" s="15"/>
      <c r="I60" s="16"/>
      <c r="J60" s="17"/>
      <c r="K60" s="15"/>
      <c r="L60" s="16"/>
      <c r="M60" s="16"/>
      <c r="N60" s="19"/>
      <c r="O60" s="18" t="s">
        <v>30</v>
      </c>
      <c r="P60" s="16"/>
      <c r="Q60" s="19"/>
      <c r="R60" s="30" t="s">
        <v>31</v>
      </c>
      <c r="S60" s="16"/>
      <c r="T60" s="19"/>
      <c r="U60" s="1"/>
    </row>
    <row r="61" spans="1:21" ht="15.6" x14ac:dyDescent="0.3">
      <c r="A61" s="1"/>
      <c r="B61" s="20" t="s">
        <v>32</v>
      </c>
      <c r="C61" s="21"/>
      <c r="D61" s="17" t="s">
        <v>161</v>
      </c>
      <c r="E61" s="27" t="s">
        <v>33</v>
      </c>
      <c r="F61" s="28"/>
      <c r="G61" s="17" t="s">
        <v>160</v>
      </c>
      <c r="H61" s="25" t="s">
        <v>160</v>
      </c>
      <c r="I61" s="23" t="s">
        <v>3</v>
      </c>
      <c r="J61" s="17" t="str">
        <f>K14</f>
        <v>Futures Hedge</v>
      </c>
      <c r="K61" s="20" t="s">
        <v>34</v>
      </c>
      <c r="L61" s="21"/>
      <c r="M61" s="21" t="s">
        <v>161</v>
      </c>
      <c r="N61" s="17" t="s">
        <v>161</v>
      </c>
      <c r="O61" s="20" t="s">
        <v>34</v>
      </c>
      <c r="P61" s="21"/>
      <c r="Q61" s="17" t="s">
        <v>161</v>
      </c>
      <c r="R61" s="23" t="s">
        <v>35</v>
      </c>
      <c r="S61" s="21"/>
      <c r="T61" s="17" t="s">
        <v>161</v>
      </c>
      <c r="U61" s="1"/>
    </row>
    <row r="62" spans="1:21" ht="15.6" x14ac:dyDescent="0.3">
      <c r="A62" s="6"/>
      <c r="B62" s="25"/>
      <c r="C62" s="21"/>
      <c r="D62" s="46"/>
      <c r="E62" s="27"/>
      <c r="F62" s="28"/>
      <c r="G62" s="46"/>
      <c r="H62" s="25"/>
      <c r="I62" s="21"/>
      <c r="J62" s="17"/>
      <c r="K62" s="25"/>
      <c r="L62" s="21"/>
      <c r="M62" s="21"/>
      <c r="N62" s="17"/>
      <c r="O62" s="25"/>
      <c r="P62" s="21"/>
      <c r="Q62" s="17"/>
      <c r="R62" s="23" t="s">
        <v>36</v>
      </c>
      <c r="S62" s="21"/>
      <c r="T62" s="17" t="s">
        <v>161</v>
      </c>
      <c r="U62" s="1"/>
    </row>
    <row r="63" spans="1:21" ht="15.6" x14ac:dyDescent="0.3">
      <c r="A63" s="6"/>
      <c r="B63" s="20" t="s">
        <v>37</v>
      </c>
      <c r="C63" s="21"/>
      <c r="D63" s="17"/>
      <c r="E63" s="25"/>
      <c r="F63" s="21"/>
      <c r="G63" s="24"/>
      <c r="H63" s="27"/>
      <c r="I63" s="56" t="s">
        <v>38</v>
      </c>
      <c r="J63" s="17" t="s">
        <v>161</v>
      </c>
      <c r="K63" s="20" t="s">
        <v>39</v>
      </c>
      <c r="L63" s="21"/>
      <c r="M63" s="21" t="s">
        <v>161</v>
      </c>
      <c r="N63" s="17" t="s">
        <v>161</v>
      </c>
      <c r="O63" s="20" t="s">
        <v>25</v>
      </c>
      <c r="P63" s="21"/>
      <c r="Q63" s="17" t="s">
        <v>161</v>
      </c>
      <c r="R63" s="21"/>
      <c r="S63" s="21"/>
      <c r="T63" s="17"/>
      <c r="U63" s="1"/>
    </row>
    <row r="64" spans="1:21" ht="15.6" x14ac:dyDescent="0.3">
      <c r="A64" s="6"/>
      <c r="B64" s="20" t="s">
        <v>0</v>
      </c>
      <c r="C64" s="21"/>
      <c r="D64" s="17" t="s">
        <v>161</v>
      </c>
      <c r="E64" s="25"/>
      <c r="F64" s="21"/>
      <c r="G64" s="17"/>
      <c r="H64" s="25"/>
      <c r="I64" s="21"/>
      <c r="J64" s="17"/>
      <c r="K64" s="25"/>
      <c r="L64" s="21"/>
      <c r="M64" s="21"/>
      <c r="N64" s="17"/>
      <c r="O64" s="25"/>
      <c r="P64" s="21"/>
      <c r="Q64" s="17"/>
      <c r="R64" s="23" t="s">
        <v>40</v>
      </c>
      <c r="S64" s="21"/>
      <c r="T64" s="17" t="s">
        <v>161</v>
      </c>
      <c r="U64" s="1"/>
    </row>
    <row r="65" spans="1:21" ht="15.6" x14ac:dyDescent="0.3">
      <c r="A65" s="6"/>
      <c r="B65" s="20" t="s">
        <v>41</v>
      </c>
      <c r="C65" s="21"/>
      <c r="D65" s="17" t="s">
        <v>161</v>
      </c>
      <c r="E65" s="25"/>
      <c r="F65" s="21"/>
      <c r="G65" s="17"/>
      <c r="H65" s="27"/>
      <c r="I65" s="56" t="s">
        <v>42</v>
      </c>
      <c r="J65" s="17" t="s">
        <v>161</v>
      </c>
      <c r="K65" s="20" t="s">
        <v>43</v>
      </c>
      <c r="L65" s="21"/>
      <c r="M65" s="21" t="s">
        <v>161</v>
      </c>
      <c r="N65" s="17" t="s">
        <v>161</v>
      </c>
      <c r="O65" s="20" t="s">
        <v>39</v>
      </c>
      <c r="P65" s="21"/>
      <c r="Q65" s="17" t="s">
        <v>161</v>
      </c>
      <c r="R65" s="23" t="s">
        <v>44</v>
      </c>
      <c r="S65" s="21"/>
      <c r="T65" s="17" t="s">
        <v>161</v>
      </c>
      <c r="U65" s="1"/>
    </row>
    <row r="66" spans="1:21" ht="15.6" x14ac:dyDescent="0.3">
      <c r="A66" s="6"/>
      <c r="B66" s="27"/>
      <c r="C66" s="28"/>
      <c r="D66" s="17"/>
      <c r="E66" s="25"/>
      <c r="F66" s="21"/>
      <c r="G66" s="17"/>
      <c r="H66" s="25"/>
      <c r="I66" s="56" t="s">
        <v>155</v>
      </c>
      <c r="J66" s="17" t="s">
        <v>161</v>
      </c>
      <c r="K66" s="25"/>
      <c r="L66" s="56" t="s">
        <v>156</v>
      </c>
      <c r="M66" s="21" t="s">
        <v>161</v>
      </c>
      <c r="N66" s="17" t="s">
        <v>161</v>
      </c>
      <c r="O66" s="25"/>
      <c r="P66" s="56" t="s">
        <v>156</v>
      </c>
      <c r="Q66" s="17" t="s">
        <v>161</v>
      </c>
      <c r="R66" s="21"/>
      <c r="S66" s="56" t="s">
        <v>156</v>
      </c>
      <c r="T66" s="17" t="s">
        <v>161</v>
      </c>
      <c r="U66" s="1"/>
    </row>
    <row r="67" spans="1:21" ht="15.6" x14ac:dyDescent="0.3">
      <c r="A67" s="6"/>
      <c r="B67" s="25"/>
      <c r="C67" s="29"/>
      <c r="D67" s="17"/>
      <c r="E67" s="25"/>
      <c r="F67" s="21"/>
      <c r="G67" s="17"/>
      <c r="H67" s="20" t="s">
        <v>45</v>
      </c>
      <c r="I67" s="21"/>
      <c r="J67" s="17"/>
      <c r="K67" s="20" t="s">
        <v>42</v>
      </c>
      <c r="L67" s="21"/>
      <c r="M67" s="21" t="s">
        <v>161</v>
      </c>
      <c r="N67" s="17" t="s">
        <v>161</v>
      </c>
      <c r="O67" s="20" t="s">
        <v>42</v>
      </c>
      <c r="P67" s="21"/>
      <c r="Q67" s="17" t="s">
        <v>161</v>
      </c>
      <c r="R67" s="23" t="s">
        <v>43</v>
      </c>
      <c r="S67" s="21"/>
      <c r="T67" s="17" t="s">
        <v>161</v>
      </c>
      <c r="U67" s="1"/>
    </row>
    <row r="68" spans="1:21" ht="15.6" x14ac:dyDescent="0.3">
      <c r="A68" s="6"/>
      <c r="B68" s="20" t="s">
        <v>46</v>
      </c>
      <c r="C68" s="21"/>
      <c r="D68" s="17"/>
      <c r="E68" s="25"/>
      <c r="F68" s="21"/>
      <c r="G68" s="17"/>
      <c r="H68" s="20" t="s">
        <v>47</v>
      </c>
      <c r="I68" s="21"/>
      <c r="J68" s="17" t="s">
        <v>161</v>
      </c>
      <c r="K68" s="65"/>
      <c r="L68" s="62"/>
      <c r="M68" s="62"/>
      <c r="N68" s="66"/>
      <c r="O68" s="25"/>
      <c r="P68" s="21"/>
      <c r="Q68" s="17"/>
      <c r="R68" s="23" t="s">
        <v>48</v>
      </c>
      <c r="S68" s="21"/>
      <c r="T68" s="17" t="s">
        <v>161</v>
      </c>
      <c r="U68" s="1"/>
    </row>
    <row r="69" spans="1:21" ht="15.6" x14ac:dyDescent="0.3">
      <c r="A69" s="6"/>
      <c r="B69" s="20" t="s">
        <v>19</v>
      </c>
      <c r="C69" s="21"/>
      <c r="D69" s="17" t="s">
        <v>161</v>
      </c>
      <c r="E69" s="25"/>
      <c r="F69" s="21"/>
      <c r="G69" s="17"/>
      <c r="H69" s="25"/>
      <c r="I69" s="21"/>
      <c r="J69" s="17"/>
      <c r="K69" s="20" t="s">
        <v>49</v>
      </c>
      <c r="L69" s="21"/>
      <c r="M69" s="21"/>
      <c r="N69" s="17"/>
      <c r="O69" s="20" t="s">
        <v>50</v>
      </c>
      <c r="P69" s="21"/>
      <c r="Q69" s="17"/>
      <c r="R69" s="23" t="s">
        <v>51</v>
      </c>
      <c r="S69" s="21"/>
      <c r="T69" s="17"/>
      <c r="U69" s="1"/>
    </row>
    <row r="70" spans="1:21" ht="15.6" x14ac:dyDescent="0.3">
      <c r="A70" s="6"/>
      <c r="B70" s="20" t="s">
        <v>20</v>
      </c>
      <c r="C70" s="21"/>
      <c r="D70" s="17" t="s">
        <v>161</v>
      </c>
      <c r="E70" s="25"/>
      <c r="F70" s="21"/>
      <c r="G70" s="17"/>
      <c r="H70" s="25"/>
      <c r="I70" s="21"/>
      <c r="J70" s="17"/>
      <c r="K70" s="20" t="s">
        <v>52</v>
      </c>
      <c r="L70" s="21"/>
      <c r="M70" s="21"/>
      <c r="N70" s="17"/>
      <c r="O70" s="20" t="s">
        <v>52</v>
      </c>
      <c r="P70" s="21"/>
      <c r="Q70" s="17"/>
      <c r="R70" s="23" t="s">
        <v>53</v>
      </c>
      <c r="S70" s="21"/>
      <c r="T70" s="17" t="s">
        <v>161</v>
      </c>
      <c r="U70" s="1"/>
    </row>
    <row r="71" spans="1:21" ht="15.6" x14ac:dyDescent="0.3">
      <c r="A71" s="9"/>
      <c r="B71" s="20" t="s">
        <v>21</v>
      </c>
      <c r="C71" s="16"/>
      <c r="D71" s="17" t="s">
        <v>161</v>
      </c>
      <c r="E71" s="15"/>
      <c r="F71" s="16"/>
      <c r="G71" s="19"/>
      <c r="H71" s="15"/>
      <c r="I71" s="16"/>
      <c r="J71" s="19"/>
      <c r="K71" s="18" t="s">
        <v>47</v>
      </c>
      <c r="L71" s="30" t="s">
        <v>54</v>
      </c>
      <c r="M71" s="21" t="s">
        <v>161</v>
      </c>
      <c r="N71" s="17" t="s">
        <v>161</v>
      </c>
      <c r="O71" s="18" t="s">
        <v>47</v>
      </c>
      <c r="P71" s="16"/>
      <c r="Q71" s="17" t="s">
        <v>161</v>
      </c>
      <c r="R71" s="30" t="s">
        <v>55</v>
      </c>
      <c r="S71" s="16"/>
      <c r="T71" s="17" t="s">
        <v>161</v>
      </c>
      <c r="U71" s="1"/>
    </row>
    <row r="72" spans="1:21" ht="15.6" x14ac:dyDescent="0.3">
      <c r="A72" s="9"/>
      <c r="B72" s="20"/>
      <c r="C72" s="16"/>
      <c r="D72" s="17"/>
      <c r="E72" s="15"/>
      <c r="F72" s="16"/>
      <c r="G72" s="19"/>
      <c r="H72" s="15"/>
      <c r="I72" s="16"/>
      <c r="J72" s="19"/>
      <c r="K72" s="18"/>
      <c r="L72" s="30"/>
      <c r="M72" s="21"/>
      <c r="N72" s="17"/>
      <c r="O72" s="18"/>
      <c r="P72" s="16"/>
      <c r="Q72" s="17"/>
      <c r="R72" s="30"/>
      <c r="S72" s="16"/>
      <c r="T72" s="17"/>
      <c r="U72" s="1"/>
    </row>
    <row r="73" spans="1:21" ht="15.6" x14ac:dyDescent="0.3">
      <c r="A73" s="31"/>
      <c r="B73" s="20" t="s">
        <v>56</v>
      </c>
      <c r="C73" s="21"/>
      <c r="D73" s="17" t="s">
        <v>161</v>
      </c>
      <c r="E73" s="20" t="s">
        <v>25</v>
      </c>
      <c r="F73" s="21"/>
      <c r="G73" s="17" t="s">
        <v>161</v>
      </c>
      <c r="H73" s="20" t="s">
        <v>57</v>
      </c>
      <c r="I73" s="21"/>
      <c r="J73" s="17" t="s">
        <v>161</v>
      </c>
      <c r="K73" s="20" t="s">
        <v>39</v>
      </c>
      <c r="L73" s="21"/>
      <c r="M73" s="21" t="s">
        <v>161</v>
      </c>
      <c r="N73" s="17" t="s">
        <v>161</v>
      </c>
      <c r="O73" s="20" t="s">
        <v>39</v>
      </c>
      <c r="P73" s="21"/>
      <c r="Q73" s="17" t="s">
        <v>161</v>
      </c>
      <c r="R73" s="23" t="s">
        <v>40</v>
      </c>
      <c r="S73" s="21"/>
      <c r="T73" s="17" t="s">
        <v>161</v>
      </c>
      <c r="U73" s="1"/>
    </row>
    <row r="74" spans="1:21" ht="15.6" x14ac:dyDescent="0.3">
      <c r="A74" s="6"/>
      <c r="B74" s="20" t="s">
        <v>57</v>
      </c>
      <c r="C74" s="21"/>
      <c r="D74" s="17" t="s">
        <v>161</v>
      </c>
      <c r="E74" s="25"/>
      <c r="F74" s="21"/>
      <c r="G74" s="17"/>
      <c r="H74" s="25"/>
      <c r="I74" s="21"/>
      <c r="J74" s="17"/>
      <c r="K74" s="25"/>
      <c r="L74" s="21"/>
      <c r="M74" s="21"/>
      <c r="N74" s="17"/>
      <c r="O74" s="25"/>
      <c r="P74" s="21"/>
      <c r="Q74" s="17"/>
      <c r="R74" s="21"/>
      <c r="S74" s="21"/>
      <c r="T74" s="17"/>
      <c r="U74" s="1"/>
    </row>
    <row r="75" spans="1:21" ht="15.6" x14ac:dyDescent="0.3">
      <c r="A75" s="32"/>
      <c r="B75" s="20" t="s">
        <v>58</v>
      </c>
      <c r="C75" s="16"/>
      <c r="D75" s="17" t="s">
        <v>161</v>
      </c>
      <c r="E75" s="15"/>
      <c r="F75" s="16"/>
      <c r="G75" s="19"/>
      <c r="H75" s="18" t="s">
        <v>59</v>
      </c>
      <c r="I75" s="16"/>
      <c r="J75" s="17" t="s">
        <v>161</v>
      </c>
      <c r="K75" s="15"/>
      <c r="L75" s="16"/>
      <c r="M75" s="16"/>
      <c r="N75" s="19"/>
      <c r="O75" s="15"/>
      <c r="P75" s="16"/>
      <c r="Q75" s="19"/>
      <c r="R75" s="30" t="s">
        <v>60</v>
      </c>
      <c r="S75" s="16"/>
      <c r="T75" s="17" t="s">
        <v>161</v>
      </c>
      <c r="U75" s="1"/>
    </row>
    <row r="76" spans="1:21" ht="15.6" x14ac:dyDescent="0.3">
      <c r="A76" s="6"/>
      <c r="B76" s="25"/>
      <c r="C76" s="21"/>
      <c r="D76" s="17"/>
      <c r="E76" s="25"/>
      <c r="F76" s="21"/>
      <c r="G76" s="17"/>
      <c r="H76" s="20" t="s">
        <v>56</v>
      </c>
      <c r="I76" s="21"/>
      <c r="J76" s="17" t="s">
        <v>161</v>
      </c>
      <c r="K76" s="20" t="s">
        <v>56</v>
      </c>
      <c r="L76" s="21"/>
      <c r="M76" s="21" t="s">
        <v>161</v>
      </c>
      <c r="N76" s="17" t="s">
        <v>161</v>
      </c>
      <c r="O76" s="20" t="s">
        <v>25</v>
      </c>
      <c r="P76" s="21"/>
      <c r="Q76" s="17" t="s">
        <v>161</v>
      </c>
      <c r="R76" s="23" t="s">
        <v>56</v>
      </c>
      <c r="S76" s="21"/>
      <c r="T76" s="17" t="s">
        <v>161</v>
      </c>
      <c r="U76" s="1"/>
    </row>
    <row r="77" spans="1:21" ht="15.6" x14ac:dyDescent="0.3">
      <c r="A77" s="6"/>
      <c r="B77" s="25"/>
      <c r="C77" s="21"/>
      <c r="D77" s="17"/>
      <c r="E77" s="25"/>
      <c r="F77" s="21"/>
      <c r="G77" s="17"/>
      <c r="H77" s="25"/>
      <c r="I77" s="21"/>
      <c r="J77" s="17"/>
      <c r="K77" s="25"/>
      <c r="L77" s="21"/>
      <c r="M77" s="21"/>
      <c r="N77" s="17"/>
      <c r="O77" s="25"/>
      <c r="P77" s="21"/>
      <c r="Q77" s="17"/>
      <c r="R77" s="21"/>
      <c r="S77" s="21"/>
      <c r="T77" s="17"/>
      <c r="U77" s="1"/>
    </row>
    <row r="78" spans="1:21" ht="15.6" x14ac:dyDescent="0.3">
      <c r="A78" s="6"/>
      <c r="B78" s="25"/>
      <c r="C78" s="21"/>
      <c r="D78" s="17"/>
      <c r="E78" s="25"/>
      <c r="F78" s="21"/>
      <c r="G78" s="17"/>
      <c r="H78" s="20" t="s">
        <v>61</v>
      </c>
      <c r="I78" s="21"/>
      <c r="J78" s="17" t="s">
        <v>161</v>
      </c>
      <c r="K78" s="20" t="s">
        <v>62</v>
      </c>
      <c r="L78" s="21"/>
      <c r="M78" s="21" t="s">
        <v>161</v>
      </c>
      <c r="N78" s="17" t="s">
        <v>161</v>
      </c>
      <c r="O78" s="20" t="s">
        <v>62</v>
      </c>
      <c r="P78" s="21"/>
      <c r="Q78" s="17" t="s">
        <v>161</v>
      </c>
      <c r="R78" s="23" t="s">
        <v>62</v>
      </c>
      <c r="S78" s="21" t="s">
        <v>161</v>
      </c>
      <c r="T78" s="17" t="s">
        <v>161</v>
      </c>
      <c r="U78" s="1"/>
    </row>
    <row r="79" spans="1:21" ht="15.6" x14ac:dyDescent="0.3">
      <c r="A79" s="6"/>
      <c r="B79" s="25"/>
      <c r="C79" s="21"/>
      <c r="D79" s="17"/>
      <c r="E79" s="25"/>
      <c r="F79" s="21"/>
      <c r="G79" s="17"/>
      <c r="H79" s="25"/>
      <c r="I79" s="21"/>
      <c r="J79" s="17"/>
      <c r="K79" s="25"/>
      <c r="L79" s="21"/>
      <c r="M79" s="21"/>
      <c r="N79" s="17"/>
      <c r="O79" s="25"/>
      <c r="P79" s="21"/>
      <c r="Q79" s="17"/>
      <c r="R79" s="21"/>
      <c r="S79" s="21"/>
      <c r="T79" s="17"/>
      <c r="U79" s="1"/>
    </row>
    <row r="80" spans="1:21" ht="15.6" x14ac:dyDescent="0.3">
      <c r="A80" s="6"/>
      <c r="B80" s="25"/>
      <c r="C80" s="21"/>
      <c r="D80" s="17"/>
      <c r="E80" s="25"/>
      <c r="F80" s="21"/>
      <c r="G80" s="17"/>
      <c r="H80" s="20" t="s">
        <v>48</v>
      </c>
      <c r="I80" s="21"/>
      <c r="J80" s="17" t="s">
        <v>161</v>
      </c>
      <c r="K80" s="20" t="s">
        <v>48</v>
      </c>
      <c r="L80" s="21"/>
      <c r="M80" s="21" t="s">
        <v>161</v>
      </c>
      <c r="N80" s="17" t="s">
        <v>161</v>
      </c>
      <c r="O80" s="20" t="s">
        <v>48</v>
      </c>
      <c r="P80" s="21"/>
      <c r="Q80" s="17" t="s">
        <v>161</v>
      </c>
      <c r="R80" s="23" t="s">
        <v>48</v>
      </c>
      <c r="S80" s="21"/>
      <c r="T80" s="17" t="s">
        <v>161</v>
      </c>
      <c r="U80" s="1"/>
    </row>
    <row r="81" spans="1:30" ht="15.6" x14ac:dyDescent="0.3">
      <c r="A81" s="6"/>
      <c r="B81" s="25"/>
      <c r="C81" s="21"/>
      <c r="D81" s="17"/>
      <c r="E81" s="25"/>
      <c r="F81" s="21"/>
      <c r="G81" s="17"/>
      <c r="H81" s="25"/>
      <c r="I81" s="56" t="s">
        <v>155</v>
      </c>
      <c r="J81" s="17" t="s">
        <v>161</v>
      </c>
      <c r="K81" s="25"/>
      <c r="L81" s="56" t="s">
        <v>156</v>
      </c>
      <c r="M81" s="21" t="s">
        <v>161</v>
      </c>
      <c r="N81" s="17" t="s">
        <v>161</v>
      </c>
      <c r="O81" s="25"/>
      <c r="P81" s="56" t="s">
        <v>156</v>
      </c>
      <c r="Q81" s="17" t="s">
        <v>161</v>
      </c>
      <c r="R81" s="21"/>
      <c r="S81" s="56" t="s">
        <v>156</v>
      </c>
      <c r="T81" s="17" t="s">
        <v>161</v>
      </c>
      <c r="U81" s="1"/>
    </row>
    <row r="82" spans="1:30" ht="15.6" x14ac:dyDescent="0.3">
      <c r="A82" s="6"/>
      <c r="B82" s="33" t="s">
        <v>56</v>
      </c>
      <c r="C82" s="34"/>
      <c r="D82" s="35" t="str">
        <f>D73</f>
        <v>______</v>
      </c>
      <c r="E82" s="33" t="s">
        <v>25</v>
      </c>
      <c r="F82" s="34"/>
      <c r="G82" s="35" t="s">
        <v>161</v>
      </c>
      <c r="H82" s="33" t="s">
        <v>63</v>
      </c>
      <c r="I82" s="34"/>
      <c r="J82" s="35" t="s">
        <v>161</v>
      </c>
      <c r="K82" s="33" t="s">
        <v>63</v>
      </c>
      <c r="L82" s="34"/>
      <c r="M82" s="34" t="s">
        <v>161</v>
      </c>
      <c r="N82" s="35" t="s">
        <v>161</v>
      </c>
      <c r="O82" s="33" t="s">
        <v>63</v>
      </c>
      <c r="P82" s="34"/>
      <c r="Q82" s="35" t="s">
        <v>161</v>
      </c>
      <c r="R82" s="64" t="s">
        <v>63</v>
      </c>
      <c r="S82" s="34"/>
      <c r="T82" s="35" t="s">
        <v>161</v>
      </c>
      <c r="U82" s="1"/>
    </row>
    <row r="83" spans="1:30" ht="15.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30" ht="15.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6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6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6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6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.6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.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.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.6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6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6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.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.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.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.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.6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.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6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6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6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6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6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6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</sheetData>
  <sheetProtection sheet="1" objects="1" scenarios="1"/>
  <mergeCells count="4">
    <mergeCell ref="B2:C2"/>
    <mergeCell ref="B3:C3"/>
    <mergeCell ref="B4:C4"/>
    <mergeCell ref="B5:C5"/>
  </mergeCells>
  <conditionalFormatting sqref="O8:O32 P9:P32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147"/>
  <sheetViews>
    <sheetView zoomScaleNormal="100" workbookViewId="0">
      <selection activeCell="B2" sqref="B2"/>
    </sheetView>
  </sheetViews>
  <sheetFormatPr defaultRowHeight="13.2" x14ac:dyDescent="0.25"/>
  <cols>
    <col min="1" max="1" width="33.77734375" customWidth="1"/>
    <col min="2" max="2" width="12.77734375" customWidth="1"/>
    <col min="3" max="3" width="10.77734375" customWidth="1"/>
    <col min="4" max="4" width="15.77734375" customWidth="1"/>
    <col min="5" max="5" width="8.77734375" customWidth="1"/>
    <col min="6" max="6" width="4.77734375" customWidth="1"/>
    <col min="7" max="7" width="1.77734375" customWidth="1"/>
    <col min="8" max="8" width="10.77734375" customWidth="1"/>
    <col min="9" max="11" width="8.77734375" customWidth="1"/>
    <col min="12" max="12" width="12.77734375" customWidth="1"/>
    <col min="13" max="14" width="8.77734375" customWidth="1"/>
    <col min="15" max="15" width="4.77734375" customWidth="1"/>
    <col min="16" max="27" width="8.77734375" customWidth="1"/>
  </cols>
  <sheetData>
    <row r="1" spans="1:25" ht="21" x14ac:dyDescent="0.4">
      <c r="A1" s="160"/>
      <c r="B1" s="250" t="s">
        <v>195</v>
      </c>
      <c r="C1" s="161"/>
      <c r="D1" s="161"/>
      <c r="E1" s="161"/>
      <c r="F1" s="242"/>
      <c r="J1" s="1"/>
      <c r="K1" s="144" t="s">
        <v>64</v>
      </c>
      <c r="L1" s="47">
        <f>C14</f>
        <v>44743</v>
      </c>
      <c r="M1" s="27"/>
      <c r="N1" s="69"/>
      <c r="V1" s="1"/>
      <c r="W1" s="1"/>
      <c r="X1" s="1"/>
      <c r="Y1" s="1"/>
    </row>
    <row r="2" spans="1:25" ht="15.6" customHeight="1" x14ac:dyDescent="0.3">
      <c r="A2" s="214" t="s">
        <v>4</v>
      </c>
      <c r="B2" s="43" t="s">
        <v>209</v>
      </c>
      <c r="C2" s="28"/>
      <c r="D2" s="28"/>
      <c r="E2" s="28"/>
      <c r="F2" s="243"/>
      <c r="J2" s="1"/>
      <c r="K2" s="2" t="s">
        <v>11</v>
      </c>
      <c r="L2" s="240">
        <f>B14</f>
        <v>15.7325</v>
      </c>
      <c r="M2" s="27"/>
      <c r="R2" s="74"/>
      <c r="S2" s="245" t="s">
        <v>56</v>
      </c>
      <c r="T2" s="246">
        <f>D64</f>
        <v>15.4025</v>
      </c>
      <c r="U2" s="74"/>
      <c r="V2" s="247" t="s">
        <v>135</v>
      </c>
      <c r="W2" s="248">
        <f>D66</f>
        <v>0.23</v>
      </c>
      <c r="X2" s="249">
        <f>T2-W2</f>
        <v>15.172499999999999</v>
      </c>
      <c r="Y2" s="1"/>
    </row>
    <row r="3" spans="1:25" ht="15.6" customHeight="1" x14ac:dyDescent="0.3">
      <c r="A3" s="214" t="s">
        <v>5</v>
      </c>
      <c r="B3" s="44" t="s">
        <v>211</v>
      </c>
      <c r="C3" s="28"/>
      <c r="D3" s="28"/>
      <c r="E3" s="28"/>
      <c r="F3" s="243"/>
      <c r="J3" s="1"/>
      <c r="K3" s="2" t="s">
        <v>65</v>
      </c>
      <c r="L3" s="241">
        <f>B15</f>
        <v>-0.33000000000000007</v>
      </c>
      <c r="M3" s="1" t="s">
        <v>13</v>
      </c>
      <c r="N3" s="1"/>
      <c r="O3" s="1"/>
      <c r="P3" s="1"/>
      <c r="Q3" s="1"/>
      <c r="R3" s="1"/>
      <c r="S3" s="1"/>
      <c r="T3" s="1"/>
      <c r="U3" s="37"/>
      <c r="V3" s="1"/>
      <c r="W3" s="1"/>
      <c r="X3" s="1"/>
      <c r="Y3" s="1"/>
    </row>
    <row r="4" spans="1:25" ht="15.6" customHeight="1" thickBot="1" x14ac:dyDescent="0.35">
      <c r="A4" s="214" t="s">
        <v>7</v>
      </c>
      <c r="B4" s="208">
        <v>44618</v>
      </c>
      <c r="C4" s="272"/>
      <c r="D4" s="28"/>
      <c r="E4" s="28"/>
      <c r="F4" s="243"/>
    </row>
    <row r="5" spans="1:25" ht="15.6" customHeight="1" x14ac:dyDescent="0.3">
      <c r="A5" s="215" t="s">
        <v>162</v>
      </c>
      <c r="B5" s="208">
        <v>44618</v>
      </c>
      <c r="C5" s="209"/>
      <c r="D5" s="92" t="s">
        <v>153</v>
      </c>
      <c r="E5" s="92"/>
      <c r="F5" s="243"/>
      <c r="I5" s="264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48" t="s">
        <v>131</v>
      </c>
      <c r="V5" s="161"/>
      <c r="W5" s="163" t="s">
        <v>131</v>
      </c>
      <c r="X5" s="62"/>
    </row>
    <row r="6" spans="1:25" ht="15.6" customHeight="1" x14ac:dyDescent="0.3">
      <c r="A6" s="214" t="s">
        <v>78</v>
      </c>
      <c r="B6" s="208">
        <v>44743</v>
      </c>
      <c r="C6" s="209"/>
      <c r="D6" s="251">
        <f>B6-B5</f>
        <v>125</v>
      </c>
      <c r="E6" s="92" t="s">
        <v>166</v>
      </c>
      <c r="F6" s="243"/>
      <c r="I6" s="265"/>
      <c r="J6" s="28"/>
      <c r="K6" s="28"/>
      <c r="L6" s="211" t="s">
        <v>215</v>
      </c>
      <c r="M6" s="211"/>
      <c r="N6" s="28"/>
      <c r="O6" s="28"/>
      <c r="P6" s="28"/>
      <c r="Q6" s="40" t="s">
        <v>136</v>
      </c>
      <c r="R6" s="28"/>
      <c r="S6" s="40" t="s">
        <v>137</v>
      </c>
      <c r="T6" s="28"/>
      <c r="U6" s="40" t="s">
        <v>67</v>
      </c>
      <c r="V6" s="28"/>
      <c r="W6" s="166" t="s">
        <v>67</v>
      </c>
      <c r="X6" s="28"/>
      <c r="Y6" s="1"/>
    </row>
    <row r="7" spans="1:25" ht="15.6" customHeight="1" x14ac:dyDescent="0.3">
      <c r="A7" s="214" t="s">
        <v>79</v>
      </c>
      <c r="B7" s="271">
        <v>0</v>
      </c>
      <c r="C7" s="28"/>
      <c r="D7" s="252">
        <f>D6/(365/12)</f>
        <v>4.10958904109589</v>
      </c>
      <c r="E7" s="92" t="s">
        <v>167</v>
      </c>
      <c r="F7" s="243"/>
      <c r="I7" s="265"/>
      <c r="J7" s="28"/>
      <c r="K7" s="39"/>
      <c r="L7" s="211"/>
      <c r="M7" s="211"/>
      <c r="N7" s="28"/>
      <c r="O7" s="28"/>
      <c r="P7" s="28"/>
      <c r="Q7" s="40" t="s">
        <v>139</v>
      </c>
      <c r="R7" s="28"/>
      <c r="S7" s="40" t="s">
        <v>140</v>
      </c>
      <c r="T7" s="28"/>
      <c r="U7" s="40" t="s">
        <v>133</v>
      </c>
      <c r="V7" s="28"/>
      <c r="W7" s="166" t="s">
        <v>134</v>
      </c>
      <c r="X7" s="28"/>
      <c r="Y7" s="1"/>
    </row>
    <row r="8" spans="1:25" ht="15.6" customHeight="1" thickBot="1" x14ac:dyDescent="0.35">
      <c r="A8" s="214" t="s">
        <v>80</v>
      </c>
      <c r="B8" s="3">
        <v>0.01</v>
      </c>
      <c r="C8" s="28"/>
      <c r="D8" s="28"/>
      <c r="E8" s="28"/>
      <c r="F8" s="243"/>
      <c r="I8" s="265"/>
      <c r="J8" s="28"/>
      <c r="K8" s="28"/>
      <c r="L8" s="211"/>
      <c r="M8" s="211"/>
      <c r="N8" s="165" t="s">
        <v>138</v>
      </c>
      <c r="O8" s="69"/>
      <c r="P8" s="167" t="s">
        <v>142</v>
      </c>
      <c r="Q8" s="168" t="s">
        <v>1</v>
      </c>
      <c r="R8" s="69"/>
      <c r="S8" s="168" t="s">
        <v>143</v>
      </c>
      <c r="T8" s="69"/>
      <c r="U8" s="168" t="s">
        <v>111</v>
      </c>
      <c r="V8" s="69"/>
      <c r="W8" s="169" t="s">
        <v>111</v>
      </c>
      <c r="X8" s="69">
        <v>0</v>
      </c>
      <c r="Y8" s="38" t="s">
        <v>151</v>
      </c>
    </row>
    <row r="9" spans="1:25" ht="15.6" customHeight="1" x14ac:dyDescent="0.3">
      <c r="A9" s="214" t="s">
        <v>81</v>
      </c>
      <c r="B9" s="45">
        <v>3.5000000000000003E-2</v>
      </c>
      <c r="C9" s="62"/>
      <c r="D9" s="28"/>
      <c r="E9" s="28"/>
      <c r="F9" s="243"/>
      <c r="I9" s="265"/>
      <c r="J9" s="28"/>
      <c r="K9" s="39"/>
      <c r="L9" s="54" t="str">
        <f>B69</f>
        <v xml:space="preserve">  Cash Market</v>
      </c>
      <c r="M9" s="146">
        <f>D69</f>
        <v>15.172499999999999</v>
      </c>
      <c r="N9" s="147">
        <f>E69</f>
        <v>15.172499999999999</v>
      </c>
      <c r="O9" s="148"/>
      <c r="P9" s="147">
        <f>G69</f>
        <v>0</v>
      </c>
      <c r="Q9" s="147" t="str">
        <f>H69</f>
        <v xml:space="preserve">     NA</v>
      </c>
      <c r="R9" s="148"/>
      <c r="S9" s="147">
        <f>J69</f>
        <v>-0.42750000000000021</v>
      </c>
      <c r="T9" s="148"/>
      <c r="U9" s="147">
        <f>L69</f>
        <v>15.172499999999999</v>
      </c>
      <c r="V9" s="148"/>
      <c r="W9" s="149">
        <f>N69</f>
        <v>15.172499999999999</v>
      </c>
      <c r="X9" s="28"/>
      <c r="Y9" s="1"/>
    </row>
    <row r="10" spans="1:25" ht="15.6" customHeight="1" x14ac:dyDescent="0.3">
      <c r="A10" s="214" t="s">
        <v>212</v>
      </c>
      <c r="B10" s="5">
        <v>15.845000000000001</v>
      </c>
      <c r="C10" s="216">
        <f>B5</f>
        <v>44618</v>
      </c>
      <c r="D10" s="239"/>
      <c r="E10" s="28"/>
      <c r="F10" s="243"/>
      <c r="I10" s="265"/>
      <c r="J10" s="28"/>
      <c r="K10" s="39"/>
      <c r="L10" s="39"/>
      <c r="M10" s="150"/>
      <c r="N10" s="40"/>
      <c r="O10" s="40"/>
      <c r="P10" s="40"/>
      <c r="Q10" s="40"/>
      <c r="R10" s="40"/>
      <c r="S10" s="40"/>
      <c r="T10" s="40"/>
      <c r="U10" s="40"/>
      <c r="V10" s="40"/>
      <c r="W10" s="151"/>
      <c r="X10" s="28"/>
      <c r="Y10" s="1"/>
    </row>
    <row r="11" spans="1:25" ht="15.6" customHeight="1" x14ac:dyDescent="0.3">
      <c r="A11" s="214" t="s">
        <v>213</v>
      </c>
      <c r="B11" s="5">
        <v>15.6</v>
      </c>
      <c r="C11" s="239">
        <f>B11-B10</f>
        <v>-0.24500000000000099</v>
      </c>
      <c r="D11" s="28" t="s">
        <v>189</v>
      </c>
      <c r="E11" s="28"/>
      <c r="F11" s="243"/>
      <c r="I11" s="265"/>
      <c r="J11" s="28"/>
      <c r="K11" s="54" t="str">
        <f>B70</f>
        <v xml:space="preserve">  Basis Contract (70% paid up front)</v>
      </c>
      <c r="L11" s="41">
        <f>D45</f>
        <v>-0.13250000000000028</v>
      </c>
      <c r="M11" s="152">
        <f>D70</f>
        <v>15.597569444444444</v>
      </c>
      <c r="N11" s="49" t="str">
        <f>E70</f>
        <v xml:space="preserve">     NA</v>
      </c>
      <c r="O11" s="40"/>
      <c r="P11" s="49" t="str">
        <f>G70</f>
        <v xml:space="preserve">    NA</v>
      </c>
      <c r="Q11" s="49">
        <f>H70</f>
        <v>0.4250694444444445</v>
      </c>
      <c r="R11" s="40"/>
      <c r="S11" s="49">
        <f>J70</f>
        <v>-2.4305555555557135E-3</v>
      </c>
      <c r="T11" s="40"/>
      <c r="U11" s="49">
        <f>L70</f>
        <v>15.597569444444444</v>
      </c>
      <c r="V11" s="40"/>
      <c r="W11" s="153">
        <f>N70</f>
        <v>15.597569444444444</v>
      </c>
      <c r="X11" s="28"/>
      <c r="Y11" s="1"/>
    </row>
    <row r="12" spans="1:25" ht="15.6" x14ac:dyDescent="0.3">
      <c r="A12" s="215" t="s">
        <v>82</v>
      </c>
      <c r="B12" s="3">
        <v>0</v>
      </c>
      <c r="C12" s="28"/>
      <c r="D12" s="28"/>
      <c r="E12" s="28"/>
      <c r="F12" s="243"/>
      <c r="I12" s="265"/>
      <c r="J12" s="28"/>
      <c r="K12" s="39"/>
      <c r="L12" s="39"/>
      <c r="M12" s="150"/>
      <c r="N12" s="40"/>
      <c r="O12" s="40"/>
      <c r="P12" s="40"/>
      <c r="Q12" s="40"/>
      <c r="R12" s="40"/>
      <c r="S12" s="40"/>
      <c r="T12" s="40"/>
      <c r="U12" s="40"/>
      <c r="V12" s="40"/>
      <c r="W12" s="151"/>
      <c r="X12" s="28"/>
      <c r="Y12" s="1"/>
    </row>
    <row r="13" spans="1:25" ht="15.6" x14ac:dyDescent="0.3">
      <c r="A13" s="215" t="s">
        <v>10</v>
      </c>
      <c r="B13" s="5">
        <v>15.4025</v>
      </c>
      <c r="C13" s="216">
        <f>C14</f>
        <v>44743</v>
      </c>
      <c r="D13" s="253">
        <f>B13-B14</f>
        <v>-0.33000000000000007</v>
      </c>
      <c r="E13" s="92" t="s">
        <v>187</v>
      </c>
      <c r="F13" s="243"/>
      <c r="I13" s="265"/>
      <c r="J13" s="28"/>
      <c r="K13" s="39"/>
      <c r="L13" s="54" t="str">
        <f>B71</f>
        <v xml:space="preserve">  Forward Contract</v>
      </c>
      <c r="M13" s="152">
        <f>D71</f>
        <v>15.172499999999999</v>
      </c>
      <c r="N13" s="49">
        <f>E71</f>
        <v>15.172499999999999</v>
      </c>
      <c r="O13" s="40"/>
      <c r="P13" s="49">
        <f>G71</f>
        <v>0</v>
      </c>
      <c r="Q13" s="49">
        <f>H71</f>
        <v>0</v>
      </c>
      <c r="R13" s="40"/>
      <c r="S13" s="49">
        <f>J71</f>
        <v>-0.42750000000000021</v>
      </c>
      <c r="T13" s="40"/>
      <c r="U13" s="49">
        <f>L71</f>
        <v>15.172499999999999</v>
      </c>
      <c r="V13" s="40"/>
      <c r="W13" s="153">
        <f>N71</f>
        <v>15.172499999999999</v>
      </c>
      <c r="X13" s="28"/>
      <c r="Y13" s="1"/>
    </row>
    <row r="14" spans="1:25" ht="15.6" x14ac:dyDescent="0.3">
      <c r="A14" s="215" t="s">
        <v>11</v>
      </c>
      <c r="B14" s="5">
        <v>15.7325</v>
      </c>
      <c r="C14" s="216">
        <f>B6</f>
        <v>44743</v>
      </c>
      <c r="D14" s="28"/>
      <c r="E14" s="28"/>
      <c r="F14" s="243"/>
      <c r="I14" s="265"/>
      <c r="J14" s="28"/>
      <c r="K14" s="39"/>
      <c r="L14" s="39"/>
      <c r="M14" s="150"/>
      <c r="N14" s="40"/>
      <c r="O14" s="40"/>
      <c r="P14" s="40"/>
      <c r="Q14" s="40"/>
      <c r="R14" s="40"/>
      <c r="S14" s="40"/>
      <c r="T14" s="40"/>
      <c r="U14" s="40"/>
      <c r="V14" s="40"/>
      <c r="W14" s="151"/>
      <c r="X14" s="28"/>
      <c r="Y14" s="1"/>
    </row>
    <row r="15" spans="1:25" ht="15.6" x14ac:dyDescent="0.3">
      <c r="A15" s="215" t="s">
        <v>83</v>
      </c>
      <c r="B15" s="3">
        <f>B13-B14</f>
        <v>-0.33000000000000007</v>
      </c>
      <c r="C15" s="92" t="s">
        <v>13</v>
      </c>
      <c r="D15" s="28"/>
      <c r="E15" s="28"/>
      <c r="F15" s="243"/>
      <c r="I15" s="265"/>
      <c r="J15" s="28"/>
      <c r="K15" s="39"/>
      <c r="L15" s="54" t="str">
        <f>B72</f>
        <v xml:space="preserve">  Futures Hedge</v>
      </c>
      <c r="M15" s="152">
        <f>D72</f>
        <v>15.1525</v>
      </c>
      <c r="N15" s="49">
        <f>E72</f>
        <v>15.1525</v>
      </c>
      <c r="O15" s="40"/>
      <c r="P15" s="49">
        <f>G72</f>
        <v>0</v>
      </c>
      <c r="Q15" s="49">
        <f>H72</f>
        <v>-1.9999999999999574E-2</v>
      </c>
      <c r="R15" s="40"/>
      <c r="S15" s="49">
        <f>J72</f>
        <v>-0.44749999999999979</v>
      </c>
      <c r="T15" s="40"/>
      <c r="U15" s="49">
        <f>L72</f>
        <v>15.1525</v>
      </c>
      <c r="V15" s="40"/>
      <c r="W15" s="153">
        <f>N72</f>
        <v>15.1525</v>
      </c>
      <c r="X15" s="28"/>
      <c r="Y15" s="1"/>
    </row>
    <row r="16" spans="1:25" ht="15.6" x14ac:dyDescent="0.3">
      <c r="A16" s="215" t="s">
        <v>202</v>
      </c>
      <c r="B16" s="5">
        <v>0.02</v>
      </c>
      <c r="C16" s="28" t="s">
        <v>203</v>
      </c>
      <c r="D16" s="28"/>
      <c r="E16" s="28"/>
      <c r="F16" s="243"/>
      <c r="I16" s="265"/>
      <c r="J16" s="28"/>
      <c r="K16" s="39"/>
      <c r="L16" s="39"/>
      <c r="M16" s="150"/>
      <c r="N16" s="40"/>
      <c r="O16" s="40"/>
      <c r="P16" s="40"/>
      <c r="Q16" s="40"/>
      <c r="R16" s="40"/>
      <c r="S16" s="40"/>
      <c r="T16" s="40"/>
      <c r="U16" s="40"/>
      <c r="V16" s="40"/>
      <c r="W16" s="151"/>
      <c r="X16" s="28"/>
      <c r="Y16" s="1"/>
    </row>
    <row r="17" spans="1:25" ht="15.6" x14ac:dyDescent="0.3">
      <c r="A17" s="215" t="s">
        <v>14</v>
      </c>
      <c r="B17" s="270">
        <v>15.8</v>
      </c>
      <c r="C17" s="216">
        <f>C14</f>
        <v>44743</v>
      </c>
      <c r="D17" s="28"/>
      <c r="E17" s="28"/>
      <c r="F17" s="243"/>
      <c r="I17" s="265"/>
      <c r="J17" s="28"/>
      <c r="K17" s="54" t="str">
        <f>B73</f>
        <v xml:space="preserve">  Put Opt. @ Strike</v>
      </c>
      <c r="L17" s="55">
        <f>C73</f>
        <v>15.4</v>
      </c>
      <c r="M17" s="152">
        <f>D73</f>
        <v>14.477499999999999</v>
      </c>
      <c r="N17" s="49">
        <f>E73</f>
        <v>14.145</v>
      </c>
      <c r="O17" s="158" t="str">
        <f>F73</f>
        <v>min</v>
      </c>
      <c r="P17" s="49">
        <f>G73</f>
        <v>0.33249999999999957</v>
      </c>
      <c r="Q17" s="49">
        <f>H73</f>
        <v>-0.69500000000000028</v>
      </c>
      <c r="R17" s="40"/>
      <c r="S17" s="49">
        <f>J73</f>
        <v>-1.1225000000000005</v>
      </c>
      <c r="T17" s="40"/>
      <c r="U17" s="49">
        <f>L73</f>
        <v>14.477499999999999</v>
      </c>
      <c r="V17" s="40"/>
      <c r="W17" s="153">
        <f>N73</f>
        <v>14.477499999999999</v>
      </c>
      <c r="X17" s="28"/>
      <c r="Y17" s="1"/>
    </row>
    <row r="18" spans="1:25" ht="15.6" x14ac:dyDescent="0.3">
      <c r="A18" s="215" t="s">
        <v>15</v>
      </c>
      <c r="B18" s="5">
        <v>0.89</v>
      </c>
      <c r="C18" s="217">
        <f>B17</f>
        <v>15.8</v>
      </c>
      <c r="D18" s="28" t="s">
        <v>16</v>
      </c>
      <c r="E18" s="28"/>
      <c r="F18" s="243"/>
      <c r="I18" s="265"/>
      <c r="J18" s="28"/>
      <c r="K18" s="54" t="str">
        <f>B74</f>
        <v xml:space="preserve">  Put Opt. @ Strike</v>
      </c>
      <c r="L18" s="55">
        <f>C74</f>
        <v>15.8</v>
      </c>
      <c r="M18" s="152">
        <f>D74</f>
        <v>14.33</v>
      </c>
      <c r="N18" s="49">
        <f>E74</f>
        <v>14.33</v>
      </c>
      <c r="O18" s="158" t="str">
        <f>F74</f>
        <v>min</v>
      </c>
      <c r="P18" s="49">
        <f>G74</f>
        <v>0</v>
      </c>
      <c r="Q18" s="49">
        <f>H74</f>
        <v>-0.84249999999999936</v>
      </c>
      <c r="R18" s="40"/>
      <c r="S18" s="49">
        <f>J74</f>
        <v>-1.2699999999999996</v>
      </c>
      <c r="T18" s="40"/>
      <c r="U18" s="49">
        <f>L74</f>
        <v>14.33</v>
      </c>
      <c r="V18" s="40"/>
      <c r="W18" s="153">
        <f>N74</f>
        <v>14.33</v>
      </c>
      <c r="X18" s="28"/>
      <c r="Y18" s="1"/>
    </row>
    <row r="19" spans="1:25" ht="15.6" x14ac:dyDescent="0.3">
      <c r="A19" s="215" t="s">
        <v>15</v>
      </c>
      <c r="B19" s="5">
        <v>0.67500000000000004</v>
      </c>
      <c r="C19" s="217">
        <f>B17-0.4</f>
        <v>15.4</v>
      </c>
      <c r="D19" s="28" t="s">
        <v>16</v>
      </c>
      <c r="E19" s="28"/>
      <c r="F19" s="243"/>
      <c r="I19" s="265"/>
      <c r="J19" s="28"/>
      <c r="K19" s="39"/>
      <c r="L19" s="39"/>
      <c r="M19" s="150"/>
      <c r="N19" s="40"/>
      <c r="O19" s="42"/>
      <c r="P19" s="40"/>
      <c r="Q19" s="40"/>
      <c r="R19" s="40"/>
      <c r="S19" s="40"/>
      <c r="T19" s="40"/>
      <c r="U19" s="40"/>
      <c r="V19" s="40"/>
      <c r="W19" s="151"/>
      <c r="X19" s="28"/>
      <c r="Y19" s="1"/>
    </row>
    <row r="20" spans="1:25" ht="15.6" x14ac:dyDescent="0.3">
      <c r="A20" s="215" t="s">
        <v>17</v>
      </c>
      <c r="B20" s="5">
        <v>0.74124999999999996</v>
      </c>
      <c r="C20" s="217">
        <f>B17+0.2</f>
        <v>16</v>
      </c>
      <c r="D20" s="28" t="s">
        <v>16</v>
      </c>
      <c r="E20" s="28"/>
      <c r="F20" s="243"/>
      <c r="I20" s="265"/>
      <c r="J20" s="28"/>
      <c r="K20" s="54" t="str">
        <f>B75</f>
        <v xml:space="preserve">  Forward Contract and </v>
      </c>
      <c r="L20" s="39"/>
      <c r="M20" s="150"/>
      <c r="N20" s="40"/>
      <c r="O20" s="42"/>
      <c r="P20" s="40"/>
      <c r="Q20" s="40"/>
      <c r="R20" s="40"/>
      <c r="S20" s="40"/>
      <c r="T20" s="40"/>
      <c r="U20" s="40"/>
      <c r="V20" s="40"/>
      <c r="W20" s="151"/>
      <c r="X20" s="28"/>
      <c r="Y20" s="1"/>
    </row>
    <row r="21" spans="1:25" ht="15.6" x14ac:dyDescent="0.3">
      <c r="A21" s="215"/>
      <c r="B21" s="28" t="s">
        <v>2</v>
      </c>
      <c r="C21" s="28"/>
      <c r="D21" s="28"/>
      <c r="E21" s="28"/>
      <c r="F21" s="243"/>
      <c r="I21" s="265"/>
      <c r="J21" s="28"/>
      <c r="K21" s="54" t="str">
        <f>B76</f>
        <v xml:space="preserve">  Buy Call Opt @</v>
      </c>
      <c r="L21" s="55">
        <f>C76</f>
        <v>16</v>
      </c>
      <c r="M21" s="152">
        <f>D76</f>
        <v>14.411249999999999</v>
      </c>
      <c r="N21" s="49">
        <f>E76</f>
        <v>14.411249999999999</v>
      </c>
      <c r="O21" s="158" t="str">
        <f>F76</f>
        <v>min</v>
      </c>
      <c r="P21" s="49">
        <f>G76</f>
        <v>0</v>
      </c>
      <c r="Q21" s="49">
        <f>H76</f>
        <v>-0.76125000000000043</v>
      </c>
      <c r="R21" s="40"/>
      <c r="S21" s="49">
        <f>J76</f>
        <v>-1.1887500000000006</v>
      </c>
      <c r="T21" s="40"/>
      <c r="U21" s="49">
        <f>L76</f>
        <v>14.411249999999999</v>
      </c>
      <c r="V21" s="40"/>
      <c r="W21" s="153">
        <f>N76</f>
        <v>14.411249999999999</v>
      </c>
      <c r="X21" s="28"/>
      <c r="Y21" s="1"/>
    </row>
    <row r="22" spans="1:25" ht="15.6" x14ac:dyDescent="0.3">
      <c r="A22" s="164"/>
      <c r="B22" s="218" t="s">
        <v>84</v>
      </c>
      <c r="C22" s="21"/>
      <c r="D22" s="28"/>
      <c r="E22" s="28"/>
      <c r="F22" s="243"/>
      <c r="I22" s="265"/>
      <c r="J22" s="28"/>
      <c r="K22" s="39"/>
      <c r="L22" s="39"/>
      <c r="M22" s="150"/>
      <c r="N22" s="40"/>
      <c r="O22" s="42"/>
      <c r="P22" s="40"/>
      <c r="Q22" s="40"/>
      <c r="R22" s="40"/>
      <c r="S22" s="40"/>
      <c r="T22" s="40"/>
      <c r="U22" s="40"/>
      <c r="V22" s="40"/>
      <c r="W22" s="151"/>
      <c r="X22" s="28"/>
      <c r="Y22" s="1"/>
    </row>
    <row r="23" spans="1:25" ht="15.6" x14ac:dyDescent="0.3">
      <c r="A23" s="219" t="s">
        <v>19</v>
      </c>
      <c r="B23" s="5">
        <f>B24*1.1</f>
        <v>16.94275</v>
      </c>
      <c r="C23" s="28"/>
      <c r="D23" s="28"/>
      <c r="E23" s="28"/>
      <c r="F23" s="243"/>
      <c r="I23" s="265"/>
      <c r="J23" s="28"/>
      <c r="K23" s="54" t="str">
        <f>B77</f>
        <v>Cash and Buy Call @</v>
      </c>
      <c r="L23" s="55">
        <f>C77</f>
        <v>16</v>
      </c>
      <c r="M23" s="152">
        <f>D77</f>
        <v>14.838750000000001</v>
      </c>
      <c r="N23" s="49">
        <f>E77</f>
        <v>14.838750000000001</v>
      </c>
      <c r="O23" s="42"/>
      <c r="P23" s="49">
        <f>G77</f>
        <v>0</v>
      </c>
      <c r="Q23" s="49">
        <f>H77</f>
        <v>-0.33374999999999844</v>
      </c>
      <c r="R23" s="40"/>
      <c r="S23" s="49">
        <f>J77</f>
        <v>-0.76124999999999865</v>
      </c>
      <c r="T23" s="40"/>
      <c r="U23" s="49">
        <f>L77</f>
        <v>14.838750000000001</v>
      </c>
      <c r="V23" s="40"/>
      <c r="W23" s="153">
        <f>N77</f>
        <v>14.838750000000001</v>
      </c>
      <c r="X23" s="28"/>
      <c r="Y23" s="1"/>
    </row>
    <row r="24" spans="1:25" ht="15.6" x14ac:dyDescent="0.3">
      <c r="A24" s="219" t="s">
        <v>20</v>
      </c>
      <c r="B24" s="5">
        <f>B13</f>
        <v>15.4025</v>
      </c>
      <c r="C24" s="28"/>
      <c r="D24" s="28"/>
      <c r="E24" s="28"/>
      <c r="F24" s="243"/>
      <c r="I24" s="265"/>
      <c r="J24" s="28"/>
      <c r="K24" s="39"/>
      <c r="L24" s="39"/>
      <c r="M24" s="150"/>
      <c r="N24" s="40"/>
      <c r="O24" s="42"/>
      <c r="P24" s="40"/>
      <c r="Q24" s="40"/>
      <c r="R24" s="40"/>
      <c r="S24" s="40"/>
      <c r="T24" s="40"/>
      <c r="U24" s="40"/>
      <c r="V24" s="40"/>
      <c r="W24" s="151"/>
      <c r="X24" s="28"/>
      <c r="Y24" s="1"/>
    </row>
    <row r="25" spans="1:25" ht="16.2" thickBot="1" x14ac:dyDescent="0.35">
      <c r="A25" s="220" t="s">
        <v>21</v>
      </c>
      <c r="B25" s="5">
        <f>B24*0.9</f>
        <v>13.86225</v>
      </c>
      <c r="C25" s="171"/>
      <c r="D25" s="171"/>
      <c r="E25" s="171"/>
      <c r="F25" s="244"/>
      <c r="I25" s="265"/>
      <c r="J25" s="28"/>
      <c r="K25" s="54" t="str">
        <f>B78</f>
        <v xml:space="preserve">  Min/Max Fence-Buy Put @</v>
      </c>
      <c r="L25" s="55">
        <f>C78</f>
        <v>15.4</v>
      </c>
      <c r="M25" s="150"/>
      <c r="N25" s="40"/>
      <c r="O25" s="42"/>
      <c r="P25" s="40"/>
      <c r="Q25" s="40"/>
      <c r="R25" s="40"/>
      <c r="S25" s="40"/>
      <c r="T25" s="40"/>
      <c r="U25" s="40"/>
      <c r="V25" s="40"/>
      <c r="W25" s="151"/>
      <c r="X25" s="28"/>
      <c r="Y25" s="1"/>
    </row>
    <row r="26" spans="1:25" ht="15.6" x14ac:dyDescent="0.3">
      <c r="A26" s="7"/>
      <c r="B26" s="7"/>
      <c r="C26" s="1"/>
      <c r="D26" s="1"/>
      <c r="E26" s="1"/>
      <c r="F26" s="1"/>
      <c r="G26" s="1"/>
      <c r="H26" s="1"/>
      <c r="I26" s="265"/>
      <c r="J26" s="28"/>
      <c r="K26" s="54" t="str">
        <f>B79</f>
        <v xml:space="preserve">  &amp; Write Call @</v>
      </c>
      <c r="L26" s="55">
        <f>C79</f>
        <v>16</v>
      </c>
      <c r="M26" s="152">
        <f>D79</f>
        <v>15.19875</v>
      </c>
      <c r="N26" s="49">
        <f>E79</f>
        <v>14.866249999999999</v>
      </c>
      <c r="O26" s="158" t="str">
        <f>F79</f>
        <v>min</v>
      </c>
      <c r="P26" s="49">
        <f>G79</f>
        <v>0.33250000000000135</v>
      </c>
      <c r="Q26" s="49">
        <f>H79</f>
        <v>2.6250000000000995E-2</v>
      </c>
      <c r="R26" s="40"/>
      <c r="S26" s="49">
        <f>J79</f>
        <v>-0.40124999999999922</v>
      </c>
      <c r="T26" s="40"/>
      <c r="U26" s="49">
        <f>L79</f>
        <v>15.19875</v>
      </c>
      <c r="V26" s="40"/>
      <c r="W26" s="153">
        <f>N79</f>
        <v>15.19875</v>
      </c>
      <c r="X26" s="28"/>
      <c r="Y26" s="1"/>
    </row>
    <row r="27" spans="1:25" ht="16.2" thickBot="1" x14ac:dyDescent="0.35">
      <c r="A27" s="7"/>
      <c r="B27" s="7"/>
      <c r="C27" s="1"/>
      <c r="D27" s="1"/>
      <c r="E27" s="1"/>
      <c r="F27" s="1"/>
      <c r="G27" s="1"/>
      <c r="H27" s="1"/>
      <c r="I27" s="266"/>
      <c r="J27" s="171"/>
      <c r="K27" s="267"/>
      <c r="L27" s="268"/>
      <c r="M27" s="154"/>
      <c r="N27" s="155">
        <f>E80</f>
        <v>15.46625</v>
      </c>
      <c r="O27" s="159" t="str">
        <f>F80</f>
        <v>max</v>
      </c>
      <c r="P27" s="155">
        <f>G80</f>
        <v>-0.26750000000000007</v>
      </c>
      <c r="Q27" s="155"/>
      <c r="R27" s="156"/>
      <c r="S27" s="155"/>
      <c r="T27" s="156"/>
      <c r="U27" s="155"/>
      <c r="V27" s="156"/>
      <c r="W27" s="157"/>
      <c r="X27" s="28"/>
      <c r="Y27" s="1"/>
    </row>
    <row r="28" spans="1:25" ht="15.6" x14ac:dyDescent="0.3">
      <c r="A28" s="7"/>
      <c r="B28" s="7"/>
      <c r="C28" s="1"/>
      <c r="D28" s="1"/>
      <c r="E28" s="1"/>
      <c r="F28" s="1"/>
      <c r="G28" s="1"/>
      <c r="H28" s="1"/>
      <c r="I28" s="62"/>
      <c r="J28" s="28"/>
      <c r="K28" s="54"/>
      <c r="L28" s="55"/>
      <c r="M28" s="263"/>
      <c r="N28" s="49"/>
      <c r="O28" s="158"/>
      <c r="P28" s="49"/>
      <c r="Q28" s="49"/>
      <c r="R28" s="40"/>
      <c r="S28" s="49"/>
      <c r="T28" s="40"/>
      <c r="U28" s="49"/>
      <c r="V28" s="40"/>
      <c r="W28" s="49"/>
      <c r="X28" s="28"/>
      <c r="Y28" s="1"/>
    </row>
    <row r="29" spans="1:25" ht="15.6" x14ac:dyDescent="0.3">
      <c r="A29" s="7"/>
      <c r="B29" s="7"/>
      <c r="C29" s="1"/>
      <c r="D29" s="1"/>
      <c r="E29" s="1"/>
      <c r="F29" s="1"/>
      <c r="G29" s="1"/>
      <c r="H29" s="1"/>
      <c r="I29" s="62"/>
      <c r="J29" s="28"/>
      <c r="K29" s="54"/>
      <c r="L29" s="55"/>
      <c r="M29" s="263"/>
      <c r="N29" s="49"/>
      <c r="O29" s="158"/>
      <c r="P29" s="49"/>
      <c r="Q29" s="49"/>
      <c r="R29" s="40"/>
      <c r="S29" s="49"/>
      <c r="T29" s="40"/>
      <c r="U29" s="49"/>
      <c r="V29" s="40"/>
      <c r="W29" s="49"/>
      <c r="X29" s="28"/>
      <c r="Y29" s="1"/>
    </row>
    <row r="30" spans="1:25" ht="15.6" x14ac:dyDescent="0.3">
      <c r="A30" s="7"/>
      <c r="B30" s="7"/>
      <c r="C30" s="1"/>
      <c r="D30" s="1"/>
      <c r="E30" s="1"/>
      <c r="F30" s="1"/>
      <c r="G30" s="1"/>
      <c r="H30" s="1"/>
      <c r="I30" s="62"/>
      <c r="J30" s="28"/>
      <c r="K30" s="54"/>
      <c r="L30" s="55"/>
      <c r="M30" s="263"/>
      <c r="N30" s="49"/>
      <c r="O30" s="158"/>
      <c r="P30" s="49"/>
      <c r="Q30" s="49"/>
      <c r="R30" s="40"/>
      <c r="S30" s="49"/>
      <c r="T30" s="40"/>
      <c r="U30" s="49"/>
      <c r="V30" s="40"/>
      <c r="W30" s="49"/>
      <c r="X30" s="28"/>
      <c r="Y30" s="1"/>
    </row>
    <row r="31" spans="1:25" ht="15.6" x14ac:dyDescent="0.3">
      <c r="A31" s="7"/>
      <c r="B31" s="7"/>
      <c r="C31" s="1"/>
      <c r="D31" s="1"/>
      <c r="E31" s="1"/>
      <c r="F31" s="1"/>
      <c r="G31" s="1"/>
      <c r="H31" s="1"/>
      <c r="I31" s="62"/>
      <c r="J31" s="28"/>
      <c r="K31" s="54"/>
      <c r="L31" s="55"/>
      <c r="M31" s="263"/>
      <c r="N31" s="49"/>
      <c r="O31" s="158"/>
      <c r="P31" s="49"/>
      <c r="Q31" s="49"/>
      <c r="R31" s="40"/>
      <c r="S31" s="49"/>
      <c r="T31" s="40"/>
      <c r="U31" s="49"/>
      <c r="V31" s="40"/>
      <c r="W31" s="49"/>
      <c r="X31" s="28"/>
      <c r="Y31" s="1"/>
    </row>
    <row r="32" spans="1:25" ht="15.6" x14ac:dyDescent="0.3">
      <c r="A32" s="7"/>
      <c r="B32" s="7"/>
      <c r="C32" s="1"/>
      <c r="D32" s="1"/>
      <c r="E32" s="1"/>
      <c r="F32" s="1"/>
      <c r="G32" s="1"/>
      <c r="H32" s="1"/>
      <c r="I32" s="62"/>
      <c r="J32" s="28"/>
      <c r="K32" s="54"/>
      <c r="L32" s="55"/>
      <c r="M32" s="263"/>
      <c r="N32" s="49"/>
      <c r="O32" s="158"/>
      <c r="P32" s="49"/>
      <c r="Q32" s="49"/>
      <c r="R32" s="40"/>
      <c r="S32" s="49"/>
      <c r="T32" s="40"/>
      <c r="U32" s="49"/>
      <c r="V32" s="40"/>
      <c r="W32" s="49"/>
      <c r="X32" s="28"/>
      <c r="Y32" s="1"/>
    </row>
    <row r="33" spans="1:30" ht="15.6" x14ac:dyDescent="0.3">
      <c r="A33" s="229"/>
      <c r="B33" s="229"/>
      <c r="C33" s="229"/>
      <c r="D33" s="229"/>
      <c r="E33" s="229"/>
      <c r="F33" s="229"/>
      <c r="G33" s="229"/>
      <c r="H33" s="229"/>
      <c r="I33" s="62"/>
      <c r="J33" s="28"/>
      <c r="K33" s="39"/>
      <c r="L33" s="40"/>
      <c r="M33" s="75"/>
      <c r="N33" s="62"/>
      <c r="O33" s="62"/>
      <c r="P33" s="62"/>
      <c r="Q33" s="40"/>
      <c r="R33" s="40"/>
      <c r="S33" s="40"/>
      <c r="T33" s="40"/>
      <c r="U33" s="40"/>
      <c r="V33" s="40"/>
      <c r="W33" s="40"/>
      <c r="X33" s="28"/>
      <c r="Y33" s="1"/>
      <c r="AA33" s="74"/>
      <c r="AB33" s="74"/>
      <c r="AC33" s="74"/>
      <c r="AD33" s="74"/>
    </row>
    <row r="34" spans="1:30" x14ac:dyDescent="0.25">
      <c r="A34" s="83" t="s">
        <v>85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1" t="s">
        <v>28</v>
      </c>
      <c r="M34" s="92"/>
      <c r="N34" s="93"/>
      <c r="O34" s="81" t="s">
        <v>86</v>
      </c>
      <c r="P34" s="92"/>
      <c r="Q34" s="93"/>
      <c r="R34" s="262" t="s">
        <v>87</v>
      </c>
      <c r="S34" s="92"/>
      <c r="T34" s="93"/>
      <c r="U34" s="74"/>
      <c r="V34" s="74"/>
      <c r="W34" s="74"/>
      <c r="X34" s="74"/>
      <c r="Y34" s="74"/>
      <c r="Z34" s="74"/>
      <c r="AA34" s="74"/>
      <c r="AB34" s="74"/>
      <c r="AC34" s="74"/>
      <c r="AD34" s="74"/>
    </row>
    <row r="35" spans="1:30" x14ac:dyDescent="0.25">
      <c r="A35" s="88"/>
      <c r="B35" s="89" t="s">
        <v>24</v>
      </c>
      <c r="C35" s="85"/>
      <c r="D35" s="86"/>
      <c r="E35" s="90" t="s">
        <v>26</v>
      </c>
      <c r="F35" s="85"/>
      <c r="G35" s="86"/>
      <c r="H35" s="90" t="s">
        <v>27</v>
      </c>
      <c r="I35" s="85"/>
      <c r="J35" s="85"/>
      <c r="K35" s="85"/>
      <c r="L35" s="91" t="s">
        <v>30</v>
      </c>
      <c r="M35" s="92"/>
      <c r="N35" s="93"/>
      <c r="O35" s="91" t="s">
        <v>88</v>
      </c>
      <c r="P35" s="88"/>
      <c r="Q35" s="93"/>
      <c r="R35" s="94" t="s">
        <v>89</v>
      </c>
      <c r="S35" s="88"/>
      <c r="T35" s="95"/>
      <c r="U35" s="74"/>
      <c r="V35" s="74"/>
      <c r="W35" s="74"/>
      <c r="X35" s="74"/>
      <c r="Y35" s="74"/>
      <c r="Z35" s="74"/>
      <c r="AA35" s="74"/>
      <c r="AB35" s="74"/>
      <c r="AC35" s="74"/>
      <c r="AD35" s="74"/>
    </row>
    <row r="36" spans="1:30" x14ac:dyDescent="0.25">
      <c r="A36" s="74"/>
      <c r="B36" s="96" t="s">
        <v>90</v>
      </c>
      <c r="C36" s="92"/>
      <c r="D36" s="97">
        <f>B11</f>
        <v>15.6</v>
      </c>
      <c r="E36" s="98">
        <f>B6</f>
        <v>44743</v>
      </c>
      <c r="F36" s="92" t="s">
        <v>3</v>
      </c>
      <c r="G36" s="99">
        <f>B14</f>
        <v>15.7325</v>
      </c>
      <c r="H36" s="98">
        <f>E36</f>
        <v>44743</v>
      </c>
      <c r="I36" s="92" t="s">
        <v>34</v>
      </c>
      <c r="J36" s="100">
        <f>C19</f>
        <v>15.4</v>
      </c>
      <c r="K36" s="100">
        <f>C18</f>
        <v>15.8</v>
      </c>
      <c r="L36" s="98">
        <f>E36</f>
        <v>44743</v>
      </c>
      <c r="M36" s="92"/>
      <c r="N36" s="93"/>
      <c r="O36" s="81" t="s">
        <v>91</v>
      </c>
      <c r="P36" s="92"/>
      <c r="Q36" s="99">
        <f>D36</f>
        <v>15.6</v>
      </c>
      <c r="R36" s="96" t="s">
        <v>35</v>
      </c>
      <c r="S36" s="101"/>
      <c r="T36" s="99">
        <f>J36</f>
        <v>15.4</v>
      </c>
      <c r="U36" s="74"/>
      <c r="V36" s="74"/>
      <c r="W36" s="74"/>
      <c r="X36" s="74"/>
      <c r="Y36" s="74"/>
      <c r="Z36" s="74"/>
      <c r="AA36" s="74"/>
      <c r="AB36" s="74"/>
      <c r="AC36" s="74"/>
      <c r="AD36" s="74"/>
    </row>
    <row r="37" spans="1:30" x14ac:dyDescent="0.25">
      <c r="A37" s="74"/>
      <c r="B37" s="96" t="s">
        <v>92</v>
      </c>
      <c r="C37" s="92"/>
      <c r="D37" s="102">
        <f>B12</f>
        <v>0</v>
      </c>
      <c r="E37" s="103">
        <f>(B6-B5)/30</f>
        <v>4.166666666666667</v>
      </c>
      <c r="F37" s="92" t="s">
        <v>93</v>
      </c>
      <c r="G37" s="99"/>
      <c r="H37" s="81"/>
      <c r="I37" s="92"/>
      <c r="J37" s="100"/>
      <c r="K37" s="100"/>
      <c r="L37" s="81" t="s">
        <v>94</v>
      </c>
      <c r="M37" s="92"/>
      <c r="N37" s="99">
        <f>C20</f>
        <v>16</v>
      </c>
      <c r="O37" s="81" t="s">
        <v>94</v>
      </c>
      <c r="P37" s="101"/>
      <c r="Q37" s="99">
        <f>T37</f>
        <v>16</v>
      </c>
      <c r="R37" s="96" t="s">
        <v>94</v>
      </c>
      <c r="S37" s="101"/>
      <c r="T37" s="99">
        <f>N37</f>
        <v>16</v>
      </c>
      <c r="U37" s="74"/>
      <c r="V37" s="74"/>
      <c r="W37" s="74"/>
      <c r="X37" s="74"/>
      <c r="Y37" s="74"/>
      <c r="Z37" s="74"/>
      <c r="AA37" s="74"/>
      <c r="AB37" s="74"/>
      <c r="AC37" s="74"/>
      <c r="AD37" s="74"/>
    </row>
    <row r="38" spans="1:30" x14ac:dyDescent="0.25">
      <c r="A38" s="74" t="s">
        <v>95</v>
      </c>
      <c r="B38" s="96" t="s">
        <v>96</v>
      </c>
      <c r="C38" s="92"/>
      <c r="D38" s="97">
        <f>B13</f>
        <v>15.4025</v>
      </c>
      <c r="E38" s="81" t="s">
        <v>97</v>
      </c>
      <c r="F38" s="92"/>
      <c r="G38" s="99"/>
      <c r="H38" s="81" t="s">
        <v>97</v>
      </c>
      <c r="I38" s="92"/>
      <c r="J38" s="100"/>
      <c r="K38" s="100"/>
      <c r="L38" s="81" t="s">
        <v>98</v>
      </c>
      <c r="M38" s="92"/>
      <c r="N38" s="99">
        <f>D38</f>
        <v>15.4025</v>
      </c>
      <c r="O38" s="257">
        <f>R38</f>
        <v>44743</v>
      </c>
      <c r="P38" s="258"/>
      <c r="Q38" s="99"/>
      <c r="R38" s="98">
        <f>E36</f>
        <v>44743</v>
      </c>
      <c r="S38" s="101"/>
      <c r="T38" s="99"/>
      <c r="U38" s="74"/>
      <c r="V38" s="74"/>
      <c r="W38" s="74"/>
      <c r="X38" s="74"/>
      <c r="Y38" s="74"/>
      <c r="Z38" s="74"/>
      <c r="AA38" s="74"/>
      <c r="AB38" s="74"/>
      <c r="AC38" s="74"/>
      <c r="AD38" s="74"/>
    </row>
    <row r="39" spans="1:30" x14ac:dyDescent="0.25">
      <c r="A39" s="104">
        <f>B9</f>
        <v>3.5000000000000003E-2</v>
      </c>
      <c r="B39" s="96" t="s">
        <v>99</v>
      </c>
      <c r="C39" s="92"/>
      <c r="D39" s="99">
        <f>ROUND((A39*E37/12*D36)+A41+(A43*E37),2)</f>
        <v>0.23</v>
      </c>
      <c r="E39" s="81" t="s">
        <v>77</v>
      </c>
      <c r="F39" s="92"/>
      <c r="G39" s="99">
        <f>B15</f>
        <v>-0.33000000000000007</v>
      </c>
      <c r="H39" s="81" t="s">
        <v>100</v>
      </c>
      <c r="I39" s="92"/>
      <c r="J39" s="100">
        <f>B19</f>
        <v>0.67500000000000004</v>
      </c>
      <c r="K39" s="100">
        <f>B18</f>
        <v>0.89</v>
      </c>
      <c r="L39" s="81" t="s">
        <v>97</v>
      </c>
      <c r="M39" s="92"/>
      <c r="N39" s="99"/>
      <c r="O39" s="81" t="s">
        <v>97</v>
      </c>
      <c r="P39" s="92"/>
      <c r="Q39" s="99"/>
      <c r="R39" s="96" t="s">
        <v>97</v>
      </c>
      <c r="S39" s="92"/>
      <c r="T39" s="99"/>
      <c r="U39" s="74"/>
      <c r="V39" s="74"/>
      <c r="W39" s="74"/>
      <c r="X39" s="74"/>
      <c r="Y39" s="74"/>
      <c r="Z39" s="74"/>
      <c r="AA39" s="74"/>
      <c r="AB39" s="74"/>
      <c r="AC39" s="74"/>
      <c r="AD39" s="74"/>
    </row>
    <row r="40" spans="1:30" x14ac:dyDescent="0.25">
      <c r="A40" s="74" t="s">
        <v>101</v>
      </c>
      <c r="B40" s="96" t="s">
        <v>102</v>
      </c>
      <c r="C40" s="92"/>
      <c r="D40" s="99">
        <f>D38-D39</f>
        <v>15.172499999999999</v>
      </c>
      <c r="E40" s="81" t="s">
        <v>103</v>
      </c>
      <c r="F40" s="92"/>
      <c r="G40" s="99">
        <f>D39</f>
        <v>0.23</v>
      </c>
      <c r="H40" s="81" t="s">
        <v>43</v>
      </c>
      <c r="I40" s="92"/>
      <c r="J40" s="100">
        <f>G39</f>
        <v>-0.33000000000000007</v>
      </c>
      <c r="K40" s="100">
        <f>G39</f>
        <v>-0.33000000000000007</v>
      </c>
      <c r="L40" s="81" t="s">
        <v>104</v>
      </c>
      <c r="M40" s="92"/>
      <c r="N40" s="99">
        <f>B20</f>
        <v>0.74124999999999996</v>
      </c>
      <c r="O40" s="81" t="s">
        <v>44</v>
      </c>
      <c r="P40" s="101"/>
      <c r="Q40" s="99">
        <f>T41</f>
        <v>0.74124999999999996</v>
      </c>
      <c r="R40" s="96" t="s">
        <v>40</v>
      </c>
      <c r="S40" s="101"/>
      <c r="T40" s="99">
        <f>J39</f>
        <v>0.67500000000000004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</row>
    <row r="41" spans="1:30" x14ac:dyDescent="0.25">
      <c r="A41" s="105">
        <f>B7</f>
        <v>0</v>
      </c>
      <c r="B41" s="106"/>
      <c r="C41" s="92"/>
      <c r="D41" s="99"/>
      <c r="E41" s="81" t="s">
        <v>105</v>
      </c>
      <c r="F41" s="92"/>
      <c r="G41" s="99">
        <f>ROUND(B16,2)</f>
        <v>0.02</v>
      </c>
      <c r="H41" s="81" t="s">
        <v>103</v>
      </c>
      <c r="I41" s="92"/>
      <c r="J41" s="100">
        <f>D39</f>
        <v>0.23</v>
      </c>
      <c r="K41" s="100">
        <f>D39</f>
        <v>0.23</v>
      </c>
      <c r="L41" s="81" t="s">
        <v>103</v>
      </c>
      <c r="M41" s="92"/>
      <c r="N41" s="99">
        <f>D39</f>
        <v>0.23</v>
      </c>
      <c r="O41" s="81" t="s">
        <v>106</v>
      </c>
      <c r="P41" s="101"/>
      <c r="Q41" s="107">
        <v>0</v>
      </c>
      <c r="R41" s="96" t="s">
        <v>44</v>
      </c>
      <c r="S41" s="101"/>
      <c r="T41" s="99">
        <f>N40</f>
        <v>0.74124999999999996</v>
      </c>
      <c r="U41" s="74"/>
      <c r="V41" s="74"/>
      <c r="W41" s="74"/>
      <c r="X41" s="74"/>
      <c r="Y41" s="74"/>
      <c r="Z41" s="74"/>
      <c r="AA41" s="74"/>
      <c r="AB41" s="74"/>
      <c r="AC41" s="74"/>
      <c r="AD41" s="74"/>
    </row>
    <row r="42" spans="1:30" x14ac:dyDescent="0.25">
      <c r="A42" s="74" t="s">
        <v>107</v>
      </c>
      <c r="B42" s="96" t="s">
        <v>108</v>
      </c>
      <c r="C42" s="92"/>
      <c r="D42" s="99">
        <v>1.9</v>
      </c>
      <c r="E42" s="81" t="s">
        <v>109</v>
      </c>
      <c r="F42" s="92"/>
      <c r="G42" s="99">
        <f>G36+G39-G41-G40</f>
        <v>15.1525</v>
      </c>
      <c r="H42" s="81" t="s">
        <v>105</v>
      </c>
      <c r="I42" s="92"/>
      <c r="J42" s="100">
        <f>G41</f>
        <v>0.02</v>
      </c>
      <c r="K42" s="100">
        <f>G41</f>
        <v>0.02</v>
      </c>
      <c r="L42" s="81" t="s">
        <v>105</v>
      </c>
      <c r="M42" s="92"/>
      <c r="N42" s="99">
        <f>G41</f>
        <v>0.02</v>
      </c>
      <c r="O42" s="81" t="s">
        <v>105</v>
      </c>
      <c r="P42" s="101"/>
      <c r="Q42" s="107">
        <f>G41</f>
        <v>0.02</v>
      </c>
      <c r="R42" s="96" t="s">
        <v>106</v>
      </c>
      <c r="S42" s="101"/>
      <c r="T42" s="107">
        <f>D39</f>
        <v>0.23</v>
      </c>
      <c r="U42" s="74"/>
      <c r="V42" s="74"/>
      <c r="W42" s="74"/>
      <c r="X42" s="74"/>
      <c r="Y42" s="74"/>
      <c r="Z42" s="74"/>
      <c r="AA42" s="74"/>
      <c r="AB42" s="74"/>
      <c r="AC42" s="74"/>
      <c r="AD42" s="74"/>
    </row>
    <row r="43" spans="1:30" x14ac:dyDescent="0.25">
      <c r="A43" s="105">
        <f>B8</f>
        <v>0.01</v>
      </c>
      <c r="B43" s="106" t="s">
        <v>110</v>
      </c>
      <c r="C43" s="92"/>
      <c r="D43" s="99">
        <f>D36+D37</f>
        <v>15.6</v>
      </c>
      <c r="E43" s="81" t="s">
        <v>111</v>
      </c>
      <c r="F43" s="92"/>
      <c r="G43" s="99">
        <f>D37</f>
        <v>0</v>
      </c>
      <c r="H43" s="81" t="s">
        <v>49</v>
      </c>
      <c r="I43" s="92"/>
      <c r="J43" s="100"/>
      <c r="K43" s="100"/>
      <c r="L43" s="81" t="s">
        <v>112</v>
      </c>
      <c r="M43" s="92"/>
      <c r="N43" s="99"/>
      <c r="O43" s="81" t="s">
        <v>112</v>
      </c>
      <c r="P43" s="101"/>
      <c r="Q43" s="99"/>
      <c r="R43" s="96" t="s">
        <v>43</v>
      </c>
      <c r="S43" s="101"/>
      <c r="T43" s="107">
        <f>G39</f>
        <v>-0.33000000000000007</v>
      </c>
      <c r="U43" s="74"/>
      <c r="V43" s="74"/>
      <c r="W43" s="74"/>
      <c r="X43" s="74"/>
      <c r="Y43" s="74"/>
      <c r="Z43" s="74"/>
      <c r="AA43" s="74"/>
      <c r="AB43" s="74"/>
      <c r="AC43" s="74"/>
      <c r="AD43" s="74"/>
    </row>
    <row r="44" spans="1:30" x14ac:dyDescent="0.25">
      <c r="A44" s="74"/>
      <c r="B44" s="96" t="s">
        <v>113</v>
      </c>
      <c r="C44" s="92"/>
      <c r="D44" s="99"/>
      <c r="E44" s="81" t="s">
        <v>114</v>
      </c>
      <c r="F44" s="92"/>
      <c r="G44" s="99">
        <f>SUM(G42:G43)</f>
        <v>15.1525</v>
      </c>
      <c r="H44" s="81" t="s">
        <v>52</v>
      </c>
      <c r="I44" s="92"/>
      <c r="J44" s="100"/>
      <c r="K44" s="100"/>
      <c r="L44" s="81" t="s">
        <v>52</v>
      </c>
      <c r="M44" s="92"/>
      <c r="N44" s="99"/>
      <c r="O44" s="81" t="s">
        <v>52</v>
      </c>
      <c r="P44" s="101"/>
      <c r="Q44" s="99"/>
      <c r="R44" s="96" t="s">
        <v>48</v>
      </c>
      <c r="S44" s="101"/>
      <c r="T44" s="107">
        <f>G41*2</f>
        <v>0.04</v>
      </c>
      <c r="U44" s="74"/>
      <c r="V44" s="74"/>
      <c r="W44" s="74"/>
      <c r="X44" s="74"/>
      <c r="Y44" s="74"/>
      <c r="Z44" s="74"/>
      <c r="AA44" s="74"/>
      <c r="AB44" s="74"/>
      <c r="AC44" s="74"/>
      <c r="AD44" s="74"/>
    </row>
    <row r="45" spans="1:30" x14ac:dyDescent="0.25">
      <c r="A45" s="74"/>
      <c r="B45" s="96" t="s">
        <v>115</v>
      </c>
      <c r="C45" s="108">
        <f>E36</f>
        <v>44743</v>
      </c>
      <c r="D45" s="99">
        <f>D36-G36</f>
        <v>-0.13250000000000028</v>
      </c>
      <c r="E45" s="81"/>
      <c r="F45" s="92"/>
      <c r="G45" s="93"/>
      <c r="H45" s="81" t="s">
        <v>116</v>
      </c>
      <c r="I45" s="92"/>
      <c r="J45" s="100">
        <f>J36-J39+J40-J42-J41</f>
        <v>14.145</v>
      </c>
      <c r="K45" s="100">
        <f>K36-K39+K40-K42-K41</f>
        <v>14.33</v>
      </c>
      <c r="L45" s="81" t="s">
        <v>47</v>
      </c>
      <c r="M45" s="92"/>
      <c r="N45" s="99">
        <f>N38-N40-N42-N41</f>
        <v>14.411249999999999</v>
      </c>
      <c r="O45" s="81" t="s">
        <v>47</v>
      </c>
      <c r="P45" s="101"/>
      <c r="Q45" s="107">
        <f>Q36-Q40-Q42-Q41</f>
        <v>14.838750000000001</v>
      </c>
      <c r="R45" s="96" t="s">
        <v>51</v>
      </c>
      <c r="S45" s="101"/>
      <c r="T45" s="107"/>
      <c r="U45" s="74"/>
      <c r="V45" s="74"/>
      <c r="W45" s="74"/>
      <c r="X45" s="74"/>
      <c r="Y45" s="74"/>
      <c r="Z45" s="74"/>
      <c r="AA45" s="74"/>
      <c r="AB45" s="74"/>
      <c r="AC45" s="74"/>
      <c r="AD45" s="74"/>
    </row>
    <row r="46" spans="1:30" x14ac:dyDescent="0.25">
      <c r="A46" s="109"/>
      <c r="B46" s="106"/>
      <c r="C46" s="92"/>
      <c r="D46" s="93"/>
      <c r="E46" s="81"/>
      <c r="F46" s="92"/>
      <c r="G46" s="93"/>
      <c r="H46" s="81" t="s">
        <v>111</v>
      </c>
      <c r="I46" s="92"/>
      <c r="J46" s="100">
        <f>G43</f>
        <v>0</v>
      </c>
      <c r="K46" s="100">
        <f>J46</f>
        <v>0</v>
      </c>
      <c r="L46" s="81" t="s">
        <v>111</v>
      </c>
      <c r="M46" s="92"/>
      <c r="N46" s="99">
        <f>K46</f>
        <v>0</v>
      </c>
      <c r="O46" s="81" t="s">
        <v>111</v>
      </c>
      <c r="P46" s="101"/>
      <c r="Q46" s="110">
        <f>N46</f>
        <v>0</v>
      </c>
      <c r="R46" s="96" t="s">
        <v>53</v>
      </c>
      <c r="S46" s="101"/>
      <c r="T46" s="107">
        <f>T36-T40+T41+T43-T44-T42</f>
        <v>14.866249999999999</v>
      </c>
      <c r="U46" s="74"/>
      <c r="V46" s="74"/>
      <c r="W46" s="74"/>
      <c r="X46" s="74"/>
      <c r="Y46" s="74"/>
      <c r="Z46" s="74"/>
      <c r="AA46" s="74"/>
      <c r="AB46" s="74"/>
      <c r="AC46" s="74"/>
      <c r="AD46" s="74"/>
    </row>
    <row r="47" spans="1:30" x14ac:dyDescent="0.25">
      <c r="A47" s="109"/>
      <c r="B47" s="96" t="s">
        <v>117</v>
      </c>
      <c r="C47" s="92"/>
      <c r="D47" s="93"/>
      <c r="E47" s="81"/>
      <c r="F47" s="92"/>
      <c r="G47" s="93"/>
      <c r="H47" s="81" t="s">
        <v>118</v>
      </c>
      <c r="I47" s="92"/>
      <c r="J47" s="100">
        <f>SUM(J45:J46)</f>
        <v>14.145</v>
      </c>
      <c r="K47" s="100">
        <f>SUM(K45:K46)</f>
        <v>14.33</v>
      </c>
      <c r="L47" s="81" t="s">
        <v>118</v>
      </c>
      <c r="M47" s="92"/>
      <c r="N47" s="99">
        <f>SUM(N45:N46)</f>
        <v>14.411249999999999</v>
      </c>
      <c r="O47" s="81" t="s">
        <v>118</v>
      </c>
      <c r="P47" s="92"/>
      <c r="Q47" s="107">
        <f>SUM(Q45:Q46)</f>
        <v>14.838750000000001</v>
      </c>
      <c r="R47" s="96" t="s">
        <v>55</v>
      </c>
      <c r="S47" s="101"/>
      <c r="T47" s="107">
        <f>T37-T40+T41+T43-T44-T42</f>
        <v>15.46625</v>
      </c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x14ac:dyDescent="0.25">
      <c r="A48" s="109"/>
      <c r="B48" s="96" t="s">
        <v>19</v>
      </c>
      <c r="C48" s="92"/>
      <c r="D48" s="111">
        <f>B23</f>
        <v>16.94275</v>
      </c>
      <c r="E48" s="81"/>
      <c r="F48" s="92"/>
      <c r="G48" s="93"/>
      <c r="H48" s="81"/>
      <c r="I48" s="92"/>
      <c r="J48" s="92"/>
      <c r="K48" s="92"/>
      <c r="L48" s="81"/>
      <c r="M48" s="92"/>
      <c r="N48" s="93"/>
      <c r="O48" s="81"/>
      <c r="P48" s="92"/>
      <c r="Q48" s="93"/>
      <c r="R48" s="81"/>
      <c r="S48" s="92"/>
      <c r="T48" s="99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1:30" x14ac:dyDescent="0.25">
      <c r="A49" s="109"/>
      <c r="B49" s="96" t="s">
        <v>20</v>
      </c>
      <c r="C49" s="92"/>
      <c r="D49" s="111">
        <f>B24</f>
        <v>15.4025</v>
      </c>
      <c r="E49" s="81"/>
      <c r="F49" s="92"/>
      <c r="G49" s="93"/>
      <c r="H49" s="81"/>
      <c r="I49" s="92"/>
      <c r="J49" s="92"/>
      <c r="K49" s="92"/>
      <c r="L49" s="81"/>
      <c r="M49" s="92"/>
      <c r="N49" s="93"/>
      <c r="O49" s="81"/>
      <c r="P49" s="92"/>
      <c r="Q49" s="93"/>
      <c r="R49" s="96" t="s">
        <v>119</v>
      </c>
      <c r="S49" s="92"/>
      <c r="T49" s="99">
        <f>T46+N46</f>
        <v>14.866249999999999</v>
      </c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:30" x14ac:dyDescent="0.25">
      <c r="A50" s="109"/>
      <c r="B50" s="112" t="s">
        <v>21</v>
      </c>
      <c r="C50" s="113"/>
      <c r="D50" s="114">
        <f>B25</f>
        <v>13.86225</v>
      </c>
      <c r="E50" s="82"/>
      <c r="F50" s="113"/>
      <c r="G50" s="115"/>
      <c r="H50" s="82"/>
      <c r="I50" s="113"/>
      <c r="J50" s="113"/>
      <c r="K50" s="113"/>
      <c r="L50" s="82"/>
      <c r="M50" s="113"/>
      <c r="N50" s="115"/>
      <c r="O50" s="82"/>
      <c r="P50" s="113"/>
      <c r="Q50" s="115"/>
      <c r="R50" s="112" t="s">
        <v>120</v>
      </c>
      <c r="S50" s="113"/>
      <c r="T50" s="116">
        <f>T47+N46</f>
        <v>15.46625</v>
      </c>
      <c r="U50" s="74"/>
      <c r="V50" s="74"/>
      <c r="W50" s="74"/>
      <c r="X50" s="74"/>
      <c r="Y50" s="74"/>
      <c r="Z50" s="74"/>
      <c r="AA50" s="74"/>
      <c r="AB50" s="74"/>
      <c r="AC50" s="74"/>
      <c r="AD50" s="74"/>
    </row>
    <row r="51" spans="1:30" x14ac:dyDescent="0.25">
      <c r="A51" s="74"/>
      <c r="B51" s="117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7"/>
      <c r="S51" s="117"/>
      <c r="T51" s="117"/>
      <c r="U51" s="74"/>
      <c r="V51" s="74"/>
      <c r="W51" s="74"/>
      <c r="X51" s="74"/>
      <c r="Y51" s="74"/>
      <c r="Z51" s="74"/>
      <c r="AA51" s="74"/>
      <c r="AB51" s="74"/>
      <c r="AC51" s="74"/>
      <c r="AD51" s="74"/>
    </row>
    <row r="52" spans="1:30" x14ac:dyDescent="0.25">
      <c r="A52" s="118" t="s">
        <v>23</v>
      </c>
      <c r="B52" s="119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9"/>
      <c r="S52" s="117"/>
      <c r="T52" s="117"/>
      <c r="U52" s="74"/>
      <c r="V52" s="74"/>
      <c r="W52" s="74"/>
      <c r="X52" s="74"/>
      <c r="Y52" s="74"/>
      <c r="Z52" s="74"/>
      <c r="AA52" s="74"/>
      <c r="AB52" s="74"/>
      <c r="AC52" s="74"/>
      <c r="AD52" s="74"/>
    </row>
    <row r="53" spans="1:30" x14ac:dyDescent="0.25">
      <c r="A53" s="120">
        <f>E36</f>
        <v>44743</v>
      </c>
      <c r="B53" s="119" t="s">
        <v>56</v>
      </c>
      <c r="C53" s="74"/>
      <c r="D53" s="121">
        <f>D64</f>
        <v>15.4025</v>
      </c>
      <c r="E53" s="74" t="s">
        <v>57</v>
      </c>
      <c r="F53" s="74"/>
      <c r="G53" s="121">
        <f>D65</f>
        <v>15.7325</v>
      </c>
      <c r="H53" s="74" t="s">
        <v>39</v>
      </c>
      <c r="I53" s="74"/>
      <c r="J53" s="121">
        <f>IF(G53&lt;J36,J36-G53,0)</f>
        <v>0</v>
      </c>
      <c r="K53" s="121">
        <f>IF(G53&lt;K36,K36-G53,0)</f>
        <v>6.7500000000000782E-2</v>
      </c>
      <c r="L53" s="74" t="s">
        <v>39</v>
      </c>
      <c r="M53" s="74"/>
      <c r="N53" s="121">
        <f>IF(G53&gt;N37,G53-N37,0)</f>
        <v>0</v>
      </c>
      <c r="O53" s="74" t="s">
        <v>121</v>
      </c>
      <c r="P53" s="74"/>
      <c r="Q53" s="122">
        <f>IF(D65&gt;Q37,D65-Q37,0)</f>
        <v>0</v>
      </c>
      <c r="R53" s="119" t="s">
        <v>40</v>
      </c>
      <c r="S53" s="117"/>
      <c r="T53" s="122">
        <f>IF(G53&lt;T36,T36-G53,0)</f>
        <v>0</v>
      </c>
      <c r="U53" s="74"/>
      <c r="V53" s="74"/>
      <c r="W53" s="74"/>
      <c r="X53" s="74"/>
      <c r="Y53" s="74"/>
      <c r="Z53" s="74"/>
      <c r="AA53" s="74"/>
      <c r="AB53" s="74"/>
      <c r="AC53" s="74"/>
      <c r="AD53" s="74"/>
    </row>
    <row r="54" spans="1:30" x14ac:dyDescent="0.25">
      <c r="A54" s="117"/>
      <c r="B54" s="119" t="s">
        <v>122</v>
      </c>
      <c r="C54" s="74"/>
      <c r="D54" s="74">
        <f>D66</f>
        <v>0.23</v>
      </c>
      <c r="E54" s="74" t="s">
        <v>59</v>
      </c>
      <c r="F54" s="74"/>
      <c r="G54" s="74">
        <f>D53-G53</f>
        <v>-0.33000000000000007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119" t="s">
        <v>60</v>
      </c>
      <c r="S54" s="117"/>
      <c r="T54" s="122">
        <f>IF(G53&gt;T37,G53-T37,0)</f>
        <v>0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</row>
    <row r="55" spans="1:30" x14ac:dyDescent="0.25">
      <c r="A55" s="117"/>
      <c r="B55" s="119" t="s">
        <v>123</v>
      </c>
      <c r="C55" s="74"/>
      <c r="D55" s="74">
        <f>D53-D54</f>
        <v>15.172499999999999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117"/>
      <c r="S55" s="117"/>
      <c r="T55" s="117"/>
      <c r="U55" s="74"/>
      <c r="V55" s="74"/>
      <c r="W55" s="74"/>
      <c r="X55" s="74"/>
      <c r="Y55" s="74"/>
      <c r="Z55" s="74"/>
      <c r="AA55" s="74"/>
      <c r="AB55" s="74"/>
      <c r="AC55" s="74"/>
      <c r="AD55" s="74"/>
    </row>
    <row r="56" spans="1:30" x14ac:dyDescent="0.25">
      <c r="A56" s="119"/>
      <c r="B56" s="119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119"/>
      <c r="S56" s="117"/>
      <c r="T56" s="117"/>
      <c r="U56" s="74"/>
      <c r="V56" s="74"/>
      <c r="W56" s="74"/>
      <c r="X56" s="74"/>
      <c r="Y56" s="74"/>
      <c r="Z56" s="74"/>
      <c r="AA56" s="74"/>
      <c r="AB56" s="74"/>
      <c r="AC56" s="74"/>
      <c r="AD56" s="74"/>
    </row>
    <row r="57" spans="1:30" x14ac:dyDescent="0.25">
      <c r="A57" s="117"/>
      <c r="B57" s="119" t="s">
        <v>124</v>
      </c>
      <c r="C57" s="74"/>
      <c r="D57" s="74"/>
      <c r="E57" s="74" t="s">
        <v>56</v>
      </c>
      <c r="F57" s="74"/>
      <c r="G57" s="123">
        <f>D53</f>
        <v>15.4025</v>
      </c>
      <c r="H57" s="74" t="s">
        <v>56</v>
      </c>
      <c r="I57" s="74"/>
      <c r="J57" s="121">
        <f>D53</f>
        <v>15.4025</v>
      </c>
      <c r="K57" s="121">
        <f>D53</f>
        <v>15.4025</v>
      </c>
      <c r="L57" s="74" t="s">
        <v>25</v>
      </c>
      <c r="M57" s="74"/>
      <c r="N57" s="121">
        <f>D38</f>
        <v>15.4025</v>
      </c>
      <c r="O57" s="74" t="s">
        <v>56</v>
      </c>
      <c r="P57" s="117"/>
      <c r="Q57" s="122">
        <f>Q36</f>
        <v>15.6</v>
      </c>
      <c r="R57" s="119" t="s">
        <v>56</v>
      </c>
      <c r="S57" s="117"/>
      <c r="T57" s="122">
        <f>D53</f>
        <v>15.4025</v>
      </c>
      <c r="U57" s="74"/>
      <c r="V57" s="74"/>
      <c r="W57" s="74"/>
      <c r="X57" s="74"/>
      <c r="Y57" s="74"/>
      <c r="Z57" s="74"/>
      <c r="AA57" s="74"/>
      <c r="AB57" s="74"/>
      <c r="AC57" s="74"/>
      <c r="AD57" s="74"/>
    </row>
    <row r="58" spans="1:30" x14ac:dyDescent="0.25">
      <c r="A58" s="117"/>
      <c r="B58" s="119" t="s">
        <v>25</v>
      </c>
      <c r="C58" s="74"/>
      <c r="D58" s="74">
        <f>D38-D66</f>
        <v>15.172499999999999</v>
      </c>
      <c r="E58" s="74" t="s">
        <v>125</v>
      </c>
      <c r="F58" s="74"/>
      <c r="G58" s="123">
        <f>G36-G53</f>
        <v>0</v>
      </c>
      <c r="H58" s="74" t="s">
        <v>126</v>
      </c>
      <c r="I58" s="74"/>
      <c r="J58" s="121">
        <f>J53-J39</f>
        <v>-0.67500000000000004</v>
      </c>
      <c r="K58" s="121">
        <f>K53-K39</f>
        <v>-0.82249999999999923</v>
      </c>
      <c r="L58" s="74" t="s">
        <v>126</v>
      </c>
      <c r="M58" s="74"/>
      <c r="N58" s="121">
        <f>N53-N40</f>
        <v>-0.74124999999999996</v>
      </c>
      <c r="O58" s="74" t="s">
        <v>126</v>
      </c>
      <c r="P58" s="117"/>
      <c r="Q58" s="122">
        <f>Q53-Q40</f>
        <v>-0.74124999999999996</v>
      </c>
      <c r="R58" s="119" t="s">
        <v>126</v>
      </c>
      <c r="S58" s="117"/>
      <c r="T58" s="122">
        <f>T53-T54-T40+T41</f>
        <v>6.624999999999992E-2</v>
      </c>
      <c r="U58" s="74"/>
      <c r="V58" s="74"/>
      <c r="W58" s="74"/>
      <c r="X58" s="74"/>
      <c r="Y58" s="74"/>
      <c r="Z58" s="74"/>
      <c r="AA58" s="74"/>
      <c r="AB58" s="74"/>
      <c r="AC58" s="74"/>
      <c r="AD58" s="74"/>
    </row>
    <row r="59" spans="1:30" x14ac:dyDescent="0.25">
      <c r="A59" s="117"/>
      <c r="B59" s="117"/>
      <c r="C59" s="74"/>
      <c r="D59" s="74"/>
      <c r="E59" s="74" t="s">
        <v>103</v>
      </c>
      <c r="F59" s="74"/>
      <c r="G59" s="123">
        <f>D66</f>
        <v>0.23</v>
      </c>
      <c r="H59" s="74" t="s">
        <v>103</v>
      </c>
      <c r="I59" s="74"/>
      <c r="J59" s="121">
        <f>D66</f>
        <v>0.23</v>
      </c>
      <c r="K59" s="121">
        <f>D66</f>
        <v>0.23</v>
      </c>
      <c r="L59" s="74" t="s">
        <v>103</v>
      </c>
      <c r="M59" s="74"/>
      <c r="N59" s="121">
        <f>D39</f>
        <v>0.23</v>
      </c>
      <c r="O59" s="74" t="s">
        <v>103</v>
      </c>
      <c r="P59" s="117"/>
      <c r="Q59" s="122">
        <f>Q41</f>
        <v>0</v>
      </c>
      <c r="R59" s="119" t="s">
        <v>103</v>
      </c>
      <c r="S59" s="117"/>
      <c r="T59" s="122">
        <f>D39</f>
        <v>0.23</v>
      </c>
      <c r="U59" s="74"/>
      <c r="V59" s="74"/>
      <c r="W59" s="74"/>
      <c r="X59" s="74"/>
      <c r="Y59" s="74"/>
      <c r="Z59" s="74"/>
      <c r="AA59" s="74"/>
      <c r="AB59" s="74"/>
      <c r="AC59" s="74"/>
      <c r="AD59" s="74"/>
    </row>
    <row r="60" spans="1:30" x14ac:dyDescent="0.25">
      <c r="A60" s="117"/>
      <c r="B60" s="119" t="s">
        <v>127</v>
      </c>
      <c r="C60" s="74"/>
      <c r="D60" s="74"/>
      <c r="E60" s="74" t="s">
        <v>128</v>
      </c>
      <c r="F60" s="74"/>
      <c r="G60" s="123">
        <f>G41</f>
        <v>0.02</v>
      </c>
      <c r="H60" s="74" t="s">
        <v>128</v>
      </c>
      <c r="I60" s="74"/>
      <c r="J60" s="121">
        <f>G41</f>
        <v>0.02</v>
      </c>
      <c r="K60" s="121">
        <f>G41</f>
        <v>0.02</v>
      </c>
      <c r="L60" s="74" t="s">
        <v>128</v>
      </c>
      <c r="M60" s="74"/>
      <c r="N60" s="121">
        <f>G41</f>
        <v>0.02</v>
      </c>
      <c r="O60" s="74" t="s">
        <v>128</v>
      </c>
      <c r="P60" s="117"/>
      <c r="Q60" s="122">
        <f>Q42</f>
        <v>0.02</v>
      </c>
      <c r="R60" s="119" t="s">
        <v>128</v>
      </c>
      <c r="S60" s="117"/>
      <c r="T60" s="122">
        <f>T44</f>
        <v>0.04</v>
      </c>
      <c r="U60" s="74"/>
      <c r="V60" s="74"/>
      <c r="W60" s="74"/>
      <c r="X60" s="74"/>
      <c r="Y60" s="74"/>
      <c r="Z60" s="74"/>
      <c r="AA60" s="74"/>
      <c r="AB60" s="74"/>
      <c r="AC60" s="74"/>
      <c r="AD60" s="74"/>
    </row>
    <row r="61" spans="1:30" x14ac:dyDescent="0.25">
      <c r="A61" s="117"/>
      <c r="B61" s="119" t="s">
        <v>129</v>
      </c>
      <c r="C61" s="74"/>
      <c r="D61" s="74">
        <f>D65+D45-(0.2*A39*E37/12)</f>
        <v>15.597569444444444</v>
      </c>
      <c r="E61" s="74" t="s">
        <v>130</v>
      </c>
      <c r="F61" s="74"/>
      <c r="G61" s="123">
        <f>G57+G58-G60-G59</f>
        <v>15.1525</v>
      </c>
      <c r="H61" s="74" t="s">
        <v>63</v>
      </c>
      <c r="I61" s="74"/>
      <c r="J61" s="121">
        <f>J57+J58-J59-J60</f>
        <v>14.477499999999999</v>
      </c>
      <c r="K61" s="121">
        <f>K57+K58-K59-K60</f>
        <v>14.33</v>
      </c>
      <c r="L61" s="74" t="s">
        <v>63</v>
      </c>
      <c r="M61" s="74"/>
      <c r="N61" s="121">
        <f>N57+N58-N59-N60</f>
        <v>14.411249999999999</v>
      </c>
      <c r="O61" s="74" t="s">
        <v>63</v>
      </c>
      <c r="P61" s="117"/>
      <c r="Q61" s="122">
        <f>Q57+Q58-Q60-Q59</f>
        <v>14.838750000000001</v>
      </c>
      <c r="R61" s="119" t="s">
        <v>63</v>
      </c>
      <c r="S61" s="117"/>
      <c r="T61" s="122">
        <f>T57+T58-T60-T59</f>
        <v>15.19875</v>
      </c>
      <c r="U61" s="74"/>
      <c r="V61" s="74"/>
      <c r="W61" s="74"/>
      <c r="X61" s="74"/>
      <c r="Y61" s="74"/>
      <c r="Z61" s="74"/>
      <c r="AA61" s="74"/>
      <c r="AB61" s="74"/>
      <c r="AC61" s="74"/>
      <c r="AD61" s="74"/>
    </row>
    <row r="62" spans="1:30" x14ac:dyDescent="0.25">
      <c r="A62" s="109"/>
      <c r="B62" s="109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</row>
    <row r="63" spans="1:30" x14ac:dyDescent="0.25">
      <c r="A63" s="127"/>
      <c r="B63" s="127"/>
      <c r="C63" s="74"/>
      <c r="D63" s="74"/>
      <c r="E63" s="74"/>
      <c r="F63" s="74"/>
      <c r="G63" s="74"/>
      <c r="H63" s="74"/>
      <c r="I63" s="74"/>
      <c r="J63" s="74"/>
      <c r="K63" s="74"/>
      <c r="L63" s="74" t="s">
        <v>131</v>
      </c>
      <c r="M63" s="74"/>
      <c r="N63" s="74" t="s">
        <v>131</v>
      </c>
      <c r="O63" s="74"/>
      <c r="P63" s="109"/>
      <c r="Q63" s="109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</row>
    <row r="64" spans="1:30" x14ac:dyDescent="0.25">
      <c r="A64" s="74"/>
      <c r="B64" s="74"/>
      <c r="C64" s="128" t="s">
        <v>56</v>
      </c>
      <c r="D64" s="74">
        <f>D65+E65</f>
        <v>15.4025</v>
      </c>
      <c r="E64" s="74" t="s">
        <v>132</v>
      </c>
      <c r="F64" s="74"/>
      <c r="G64" s="74"/>
      <c r="H64" s="74"/>
      <c r="I64" s="74"/>
      <c r="J64" s="74"/>
      <c r="K64" s="74"/>
      <c r="L64" s="74" t="s">
        <v>67</v>
      </c>
      <c r="M64" s="74"/>
      <c r="N64" s="74" t="s">
        <v>67</v>
      </c>
      <c r="O64" s="74"/>
      <c r="P64" s="109"/>
      <c r="Q64" s="109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</row>
    <row r="65" spans="1:30" x14ac:dyDescent="0.25">
      <c r="A65" s="109"/>
      <c r="B65" s="74"/>
      <c r="C65" s="128" t="s">
        <v>57</v>
      </c>
      <c r="D65" s="129">
        <f>L2</f>
        <v>15.7325</v>
      </c>
      <c r="E65" s="105">
        <f>L3</f>
        <v>-0.33000000000000007</v>
      </c>
      <c r="F65" s="74"/>
      <c r="G65" s="74"/>
      <c r="H65" s="74"/>
      <c r="I65" s="74"/>
      <c r="J65" s="74"/>
      <c r="K65" s="74"/>
      <c r="L65" s="74" t="s">
        <v>133</v>
      </c>
      <c r="M65" s="74"/>
      <c r="N65" s="74" t="s">
        <v>134</v>
      </c>
      <c r="O65" s="74"/>
      <c r="P65" s="109"/>
      <c r="Q65" s="109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</row>
    <row r="66" spans="1:30" x14ac:dyDescent="0.25">
      <c r="A66" s="109"/>
      <c r="B66" s="74"/>
      <c r="C66" s="130" t="s">
        <v>135</v>
      </c>
      <c r="D66" s="131">
        <f>D39</f>
        <v>0.23</v>
      </c>
      <c r="E66" s="117"/>
      <c r="F66" s="117"/>
      <c r="G66" s="117"/>
      <c r="H66" s="132" t="s">
        <v>136</v>
      </c>
      <c r="I66" s="74"/>
      <c r="J66" s="132" t="s">
        <v>137</v>
      </c>
      <c r="K66" s="109"/>
      <c r="L66" s="109" t="s">
        <v>111</v>
      </c>
      <c r="M66" s="109"/>
      <c r="N66" s="109" t="s">
        <v>111</v>
      </c>
      <c r="O66" s="109"/>
      <c r="P66" s="109"/>
      <c r="Q66" s="109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:30" x14ac:dyDescent="0.25">
      <c r="A67" s="109"/>
      <c r="B67" s="133"/>
      <c r="C67" s="117"/>
      <c r="D67" s="131"/>
      <c r="E67" s="119" t="s">
        <v>138</v>
      </c>
      <c r="F67" s="117"/>
      <c r="G67" s="117"/>
      <c r="H67" s="134" t="s">
        <v>139</v>
      </c>
      <c r="I67" s="74"/>
      <c r="J67" s="135" t="s">
        <v>140</v>
      </c>
      <c r="K67" s="109"/>
      <c r="L67" s="109"/>
      <c r="M67" s="109"/>
      <c r="N67" s="109"/>
      <c r="O67" s="109"/>
      <c r="P67" s="109"/>
      <c r="Q67" s="109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</row>
    <row r="68" spans="1:30" x14ac:dyDescent="0.25">
      <c r="A68" s="74"/>
      <c r="B68" s="136" t="s">
        <v>163</v>
      </c>
      <c r="C68" s="137"/>
      <c r="D68" s="118" t="s">
        <v>67</v>
      </c>
      <c r="E68" s="138" t="s">
        <v>141</v>
      </c>
      <c r="F68" s="137"/>
      <c r="G68" s="118" t="s">
        <v>142</v>
      </c>
      <c r="H68" s="139" t="s">
        <v>1</v>
      </c>
      <c r="I68" s="140"/>
      <c r="J68" s="141" t="s">
        <v>143</v>
      </c>
      <c r="K68" s="142"/>
      <c r="L68" s="142"/>
      <c r="M68" s="142"/>
      <c r="N68" s="137">
        <f>IF((D65+E65)&gt;D42,0,(D42-(D65+E65)))</f>
        <v>0</v>
      </c>
      <c r="O68" s="109" t="s">
        <v>111</v>
      </c>
      <c r="P68" s="109"/>
      <c r="Q68" s="109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</row>
    <row r="69" spans="1:30" x14ac:dyDescent="0.25">
      <c r="A69" s="74"/>
      <c r="B69" s="130" t="s">
        <v>24</v>
      </c>
      <c r="C69" s="119" t="s">
        <v>144</v>
      </c>
      <c r="D69" s="117">
        <f>D55</f>
        <v>15.172499999999999</v>
      </c>
      <c r="E69" s="117">
        <f>D49-D54</f>
        <v>15.172499999999999</v>
      </c>
      <c r="F69" s="117"/>
      <c r="G69" s="117">
        <f>D69-E69</f>
        <v>0</v>
      </c>
      <c r="H69" s="131" t="s">
        <v>145</v>
      </c>
      <c r="I69" s="74"/>
      <c r="J69" s="117">
        <f t="shared" ref="J69:J74" si="0">D69-$D$36</f>
        <v>-0.42750000000000021</v>
      </c>
      <c r="K69" s="109"/>
      <c r="L69" s="117">
        <f t="shared" ref="L69:L74" si="1">D69+$D$37</f>
        <v>15.172499999999999</v>
      </c>
      <c r="M69" s="109"/>
      <c r="N69" s="117">
        <f t="shared" ref="N69:N74" si="2">D69+$N$68</f>
        <v>15.172499999999999</v>
      </c>
      <c r="O69" s="109"/>
      <c r="P69" s="109"/>
      <c r="Q69" s="109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</row>
    <row r="70" spans="1:30" x14ac:dyDescent="0.25">
      <c r="A70" s="74"/>
      <c r="B70" s="130" t="s">
        <v>201</v>
      </c>
      <c r="C70" s="119" t="s">
        <v>144</v>
      </c>
      <c r="D70" s="117">
        <f>D61</f>
        <v>15.597569444444444</v>
      </c>
      <c r="E70" s="131" t="s">
        <v>145</v>
      </c>
      <c r="F70" s="117"/>
      <c r="G70" s="131" t="s">
        <v>146</v>
      </c>
      <c r="H70" s="117">
        <f>D70-$D$69</f>
        <v>0.4250694444444445</v>
      </c>
      <c r="I70" s="74"/>
      <c r="J70" s="117">
        <f t="shared" si="0"/>
        <v>-2.4305555555557135E-3</v>
      </c>
      <c r="K70" s="109"/>
      <c r="L70" s="117">
        <f t="shared" si="1"/>
        <v>15.597569444444444</v>
      </c>
      <c r="M70" s="109"/>
      <c r="N70" s="117">
        <f t="shared" si="2"/>
        <v>15.597569444444444</v>
      </c>
      <c r="O70" s="109"/>
      <c r="P70" s="109"/>
      <c r="Q70" s="109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</row>
    <row r="71" spans="1:30" x14ac:dyDescent="0.25">
      <c r="A71" s="74"/>
      <c r="B71" s="130" t="s">
        <v>25</v>
      </c>
      <c r="C71" s="119" t="s">
        <v>144</v>
      </c>
      <c r="D71" s="117">
        <f>D58</f>
        <v>15.172499999999999</v>
      </c>
      <c r="E71" s="117">
        <f>D40</f>
        <v>15.172499999999999</v>
      </c>
      <c r="F71" s="117"/>
      <c r="G71" s="117">
        <f>D71-E71</f>
        <v>0</v>
      </c>
      <c r="H71" s="117">
        <f>D71-$D$69</f>
        <v>0</v>
      </c>
      <c r="I71" s="74"/>
      <c r="J71" s="117">
        <f t="shared" si="0"/>
        <v>-0.42750000000000021</v>
      </c>
      <c r="K71" s="109"/>
      <c r="L71" s="117">
        <f t="shared" si="1"/>
        <v>15.172499999999999</v>
      </c>
      <c r="M71" s="109"/>
      <c r="N71" s="117">
        <f t="shared" si="2"/>
        <v>15.172499999999999</v>
      </c>
      <c r="O71" s="109"/>
      <c r="P71" s="109"/>
      <c r="Q71" s="109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</row>
    <row r="72" spans="1:30" x14ac:dyDescent="0.25">
      <c r="A72" s="74"/>
      <c r="B72" s="130" t="s">
        <v>26</v>
      </c>
      <c r="C72" s="119" t="s">
        <v>144</v>
      </c>
      <c r="D72" s="117">
        <f>G61</f>
        <v>15.1525</v>
      </c>
      <c r="E72" s="117">
        <f>G42</f>
        <v>15.1525</v>
      </c>
      <c r="F72" s="117"/>
      <c r="G72" s="117">
        <f>D72-E72</f>
        <v>0</v>
      </c>
      <c r="H72" s="117">
        <f>D72-$D$69</f>
        <v>-1.9999999999999574E-2</v>
      </c>
      <c r="I72" s="74"/>
      <c r="J72" s="117">
        <f t="shared" si="0"/>
        <v>-0.44749999999999979</v>
      </c>
      <c r="K72" s="109"/>
      <c r="L72" s="117">
        <f t="shared" si="1"/>
        <v>15.1525</v>
      </c>
      <c r="M72" s="109"/>
      <c r="N72" s="117">
        <f t="shared" si="2"/>
        <v>15.1525</v>
      </c>
      <c r="O72" s="109"/>
      <c r="P72" s="109"/>
      <c r="Q72" s="109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</row>
    <row r="73" spans="1:30" x14ac:dyDescent="0.25">
      <c r="A73" s="74"/>
      <c r="B73" s="130" t="s">
        <v>147</v>
      </c>
      <c r="C73" s="117">
        <f>J36</f>
        <v>15.4</v>
      </c>
      <c r="D73" s="117">
        <f>J61</f>
        <v>14.477499999999999</v>
      </c>
      <c r="E73" s="117">
        <f>J45</f>
        <v>14.145</v>
      </c>
      <c r="F73" s="119" t="s">
        <v>72</v>
      </c>
      <c r="G73" s="117">
        <f>D73-E73</f>
        <v>0.33249999999999957</v>
      </c>
      <c r="H73" s="117">
        <f>D73-$D$69</f>
        <v>-0.69500000000000028</v>
      </c>
      <c r="I73" s="74"/>
      <c r="J73" s="117">
        <f t="shared" si="0"/>
        <v>-1.1225000000000005</v>
      </c>
      <c r="K73" s="109"/>
      <c r="L73" s="117">
        <f t="shared" si="1"/>
        <v>14.477499999999999</v>
      </c>
      <c r="M73" s="109"/>
      <c r="N73" s="117">
        <f t="shared" si="2"/>
        <v>14.477499999999999</v>
      </c>
      <c r="O73" s="109"/>
      <c r="P73" s="109"/>
      <c r="Q73" s="109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4" spans="1:30" x14ac:dyDescent="0.25">
      <c r="A74" s="74"/>
      <c r="B74" s="130" t="s">
        <v>147</v>
      </c>
      <c r="C74" s="117">
        <f>K36</f>
        <v>15.8</v>
      </c>
      <c r="D74" s="117">
        <f>K61</f>
        <v>14.33</v>
      </c>
      <c r="E74" s="117">
        <f>K45</f>
        <v>14.33</v>
      </c>
      <c r="F74" s="119" t="s">
        <v>72</v>
      </c>
      <c r="G74" s="117">
        <f>D74-E74</f>
        <v>0</v>
      </c>
      <c r="H74" s="117">
        <f>D74-$D$69</f>
        <v>-0.84249999999999936</v>
      </c>
      <c r="I74" s="74"/>
      <c r="J74" s="117">
        <f t="shared" si="0"/>
        <v>-1.2699999999999996</v>
      </c>
      <c r="K74" s="109"/>
      <c r="L74" s="117">
        <f t="shared" si="1"/>
        <v>14.33</v>
      </c>
      <c r="M74" s="109"/>
      <c r="N74" s="117">
        <f t="shared" si="2"/>
        <v>14.33</v>
      </c>
      <c r="O74" s="109"/>
      <c r="P74" s="109"/>
      <c r="Q74" s="109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</row>
    <row r="75" spans="1:30" x14ac:dyDescent="0.25">
      <c r="A75" s="74"/>
      <c r="B75" s="130" t="s">
        <v>28</v>
      </c>
      <c r="C75" s="117"/>
      <c r="D75" s="117"/>
      <c r="E75" s="117"/>
      <c r="F75" s="117"/>
      <c r="G75" s="117"/>
      <c r="H75" s="117"/>
      <c r="I75" s="74"/>
      <c r="J75" s="117"/>
      <c r="K75" s="109"/>
      <c r="L75" s="117"/>
      <c r="M75" s="109"/>
      <c r="N75" s="117"/>
      <c r="O75" s="109"/>
      <c r="P75" s="109"/>
      <c r="Q75" s="109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</row>
    <row r="76" spans="1:30" x14ac:dyDescent="0.25">
      <c r="A76" s="74"/>
      <c r="B76" s="130" t="s">
        <v>148</v>
      </c>
      <c r="C76" s="117">
        <f>N37</f>
        <v>16</v>
      </c>
      <c r="D76" s="117">
        <f>N61</f>
        <v>14.411249999999999</v>
      </c>
      <c r="E76" s="117">
        <f>N45</f>
        <v>14.411249999999999</v>
      </c>
      <c r="F76" s="119" t="s">
        <v>72</v>
      </c>
      <c r="G76" s="117">
        <f>D76-E76</f>
        <v>0</v>
      </c>
      <c r="H76" s="117">
        <f>D76-$D$69</f>
        <v>-0.76125000000000043</v>
      </c>
      <c r="I76" s="74"/>
      <c r="J76" s="117">
        <f>D76-$D$36</f>
        <v>-1.1887500000000006</v>
      </c>
      <c r="K76" s="109"/>
      <c r="L76" s="117">
        <f>D76+$D$37</f>
        <v>14.411249999999999</v>
      </c>
      <c r="M76" s="109"/>
      <c r="N76" s="117">
        <f>D76+$N$68</f>
        <v>14.411249999999999</v>
      </c>
      <c r="O76" s="109"/>
      <c r="P76" s="109"/>
      <c r="Q76" s="109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</row>
    <row r="77" spans="1:30" x14ac:dyDescent="0.25">
      <c r="A77" s="74"/>
      <c r="B77" s="130" t="s">
        <v>149</v>
      </c>
      <c r="C77" s="143">
        <f>C79</f>
        <v>16</v>
      </c>
      <c r="D77" s="143">
        <f>Q61</f>
        <v>14.838750000000001</v>
      </c>
      <c r="E77" s="143">
        <f>Q45</f>
        <v>14.838750000000001</v>
      </c>
      <c r="F77" s="143"/>
      <c r="G77" s="117">
        <f>D77-E77</f>
        <v>0</v>
      </c>
      <c r="H77" s="117">
        <f>D77-$D$69</f>
        <v>-0.33374999999999844</v>
      </c>
      <c r="I77" s="74"/>
      <c r="J77" s="117">
        <f>D77-$D$36</f>
        <v>-0.76124999999999865</v>
      </c>
      <c r="K77" s="74"/>
      <c r="L77" s="117">
        <f>D77+$D$37</f>
        <v>14.838750000000001</v>
      </c>
      <c r="M77" s="74"/>
      <c r="N77" s="117">
        <f>D77+$N$68</f>
        <v>14.838750000000001</v>
      </c>
      <c r="O77" s="109"/>
      <c r="P77" s="109"/>
      <c r="Q77" s="109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</row>
    <row r="78" spans="1:30" x14ac:dyDescent="0.25">
      <c r="A78" s="74"/>
      <c r="B78" s="130" t="s">
        <v>185</v>
      </c>
      <c r="C78" s="117">
        <f>T36</f>
        <v>15.4</v>
      </c>
      <c r="D78" s="117"/>
      <c r="E78" s="117"/>
      <c r="F78" s="117"/>
      <c r="G78" s="117"/>
      <c r="H78" s="117"/>
      <c r="I78" s="74"/>
      <c r="J78" s="117"/>
      <c r="K78" s="109"/>
      <c r="L78" s="117"/>
      <c r="M78" s="109"/>
      <c r="N78" s="117"/>
      <c r="O78" s="109"/>
      <c r="P78" s="109"/>
      <c r="Q78" s="109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1:30" x14ac:dyDescent="0.25">
      <c r="A79" s="74"/>
      <c r="B79" s="130" t="s">
        <v>150</v>
      </c>
      <c r="C79" s="117">
        <f>T37</f>
        <v>16</v>
      </c>
      <c r="D79" s="117">
        <f>T61</f>
        <v>15.19875</v>
      </c>
      <c r="E79" s="117">
        <f>T46</f>
        <v>14.866249999999999</v>
      </c>
      <c r="F79" s="119" t="s">
        <v>72</v>
      </c>
      <c r="G79" s="117">
        <f>D79-E79</f>
        <v>0.33250000000000135</v>
      </c>
      <c r="H79" s="117">
        <f>D79-$D$69</f>
        <v>2.6250000000000995E-2</v>
      </c>
      <c r="I79" s="74"/>
      <c r="J79" s="117">
        <f>D79-$D$36</f>
        <v>-0.40124999999999922</v>
      </c>
      <c r="K79" s="109"/>
      <c r="L79" s="117">
        <f>D79+$D$37</f>
        <v>15.19875</v>
      </c>
      <c r="M79" s="109"/>
      <c r="N79" s="117">
        <f>D79+$N$68</f>
        <v>15.19875</v>
      </c>
      <c r="O79" s="109"/>
      <c r="P79" s="109"/>
      <c r="Q79" s="109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</row>
    <row r="80" spans="1:30" x14ac:dyDescent="0.25">
      <c r="A80" s="74"/>
      <c r="B80" s="130"/>
      <c r="C80" s="117"/>
      <c r="D80" s="117"/>
      <c r="E80" s="117">
        <f>T47</f>
        <v>15.46625</v>
      </c>
      <c r="F80" s="119" t="s">
        <v>76</v>
      </c>
      <c r="G80" s="117">
        <f>D79-E80</f>
        <v>-0.26750000000000007</v>
      </c>
      <c r="H80" s="117"/>
      <c r="I80" s="74"/>
      <c r="J80" s="117"/>
      <c r="K80" s="109"/>
      <c r="L80" s="117"/>
      <c r="M80" s="109"/>
      <c r="N80" s="117"/>
      <c r="O80" s="109"/>
      <c r="P80" s="109"/>
      <c r="Q80" s="109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</row>
    <row r="81" spans="1:30" ht="15" x14ac:dyDescent="0.25">
      <c r="A81" s="229"/>
      <c r="B81" s="229"/>
      <c r="C81" s="229"/>
      <c r="D81" s="230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74"/>
      <c r="V81" s="74"/>
      <c r="W81" s="74"/>
      <c r="X81" s="74"/>
      <c r="Y81" s="74"/>
      <c r="Z81" s="74"/>
      <c r="AA81" s="74"/>
      <c r="AB81" s="74"/>
      <c r="AC81" s="74"/>
      <c r="AD81" s="74"/>
    </row>
    <row r="82" spans="1:30" ht="15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229"/>
      <c r="Q82" s="229"/>
      <c r="R82" s="229"/>
      <c r="S82" s="229"/>
      <c r="T82" s="229"/>
      <c r="U82" s="74"/>
      <c r="V82" s="74"/>
      <c r="W82" s="74"/>
      <c r="X82" s="74"/>
      <c r="Y82" s="74"/>
      <c r="Z82" s="74"/>
      <c r="AA82" s="74"/>
      <c r="AB82" s="74"/>
      <c r="AC82" s="74"/>
      <c r="AD82" s="74"/>
    </row>
    <row r="83" spans="1:30" ht="15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229"/>
      <c r="Q83" s="229"/>
      <c r="R83" s="229"/>
      <c r="S83" s="229"/>
      <c r="T83" s="229"/>
      <c r="U83" s="74"/>
      <c r="V83" s="74"/>
      <c r="W83" s="74"/>
      <c r="X83" s="74"/>
      <c r="Y83" s="74"/>
      <c r="Z83" s="74"/>
      <c r="AA83" s="74"/>
      <c r="AB83" s="74"/>
      <c r="AC83" s="74"/>
      <c r="AD83" s="74"/>
    </row>
    <row r="84" spans="1:30" ht="15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229"/>
      <c r="Q84" s="229"/>
      <c r="R84" s="229"/>
      <c r="S84" s="229"/>
      <c r="T84" s="229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ht="15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229"/>
      <c r="Q85" s="229"/>
      <c r="R85" s="229"/>
      <c r="S85" s="229"/>
      <c r="T85" s="229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1:30" ht="15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229"/>
      <c r="Q86" s="229"/>
      <c r="R86" s="229"/>
      <c r="S86" s="229"/>
      <c r="T86" s="229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1:30" ht="15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229"/>
      <c r="Q87" s="229"/>
      <c r="R87" s="229"/>
      <c r="S87" s="229"/>
      <c r="T87" s="229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1:30" ht="15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229"/>
      <c r="Q88" s="229"/>
      <c r="R88" s="229"/>
      <c r="S88" s="229"/>
      <c r="T88" s="229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1:30" ht="15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229"/>
      <c r="Q89" s="229"/>
      <c r="R89" s="229"/>
      <c r="S89" s="229"/>
      <c r="T89" s="229"/>
      <c r="U89" s="74"/>
      <c r="V89" s="74"/>
      <c r="W89" s="74"/>
      <c r="X89" s="74"/>
      <c r="Y89" s="74"/>
      <c r="Z89" s="74"/>
      <c r="AA89" s="74"/>
      <c r="AB89" s="74"/>
      <c r="AC89" s="74"/>
      <c r="AD89" s="74"/>
    </row>
    <row r="90" spans="1:30" ht="15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229"/>
      <c r="Q90" s="229"/>
      <c r="R90" s="229"/>
      <c r="S90" s="229"/>
      <c r="T90" s="229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ht="15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229"/>
      <c r="Q91" s="229"/>
      <c r="R91" s="229"/>
      <c r="S91" s="229"/>
      <c r="T91" s="229"/>
      <c r="U91" s="74"/>
      <c r="V91" s="74"/>
      <c r="W91" s="74"/>
      <c r="X91" s="74"/>
      <c r="Y91" s="74"/>
      <c r="Z91" s="74"/>
      <c r="AA91" s="74"/>
      <c r="AB91" s="74"/>
      <c r="AC91" s="74"/>
      <c r="AD91" s="74"/>
    </row>
    <row r="92" spans="1:30" ht="15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229"/>
      <c r="Q92" s="229"/>
      <c r="R92" s="229"/>
      <c r="S92" s="229"/>
      <c r="T92" s="229"/>
      <c r="U92" s="74"/>
      <c r="V92" s="74"/>
      <c r="W92" s="74"/>
      <c r="X92" s="74"/>
      <c r="Y92" s="74"/>
      <c r="Z92" s="74"/>
      <c r="AA92" s="74"/>
      <c r="AB92" s="74"/>
      <c r="AC92" s="74"/>
      <c r="AD92" s="74"/>
    </row>
    <row r="93" spans="1:30" ht="15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229"/>
      <c r="Q93" s="229"/>
      <c r="R93" s="229"/>
      <c r="S93" s="229"/>
      <c r="T93" s="229"/>
      <c r="U93" s="74"/>
      <c r="V93" s="74"/>
      <c r="W93" s="74"/>
      <c r="X93" s="74"/>
      <c r="Y93" s="74"/>
      <c r="Z93" s="74"/>
      <c r="AA93" s="74"/>
      <c r="AB93" s="74"/>
      <c r="AC93" s="74"/>
      <c r="AD93" s="74"/>
    </row>
    <row r="94" spans="1:30" ht="15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229"/>
      <c r="Q94" s="229"/>
      <c r="R94" s="229"/>
      <c r="S94" s="229"/>
      <c r="T94" s="229"/>
      <c r="U94" s="74"/>
      <c r="V94" s="74"/>
      <c r="W94" s="74"/>
      <c r="X94" s="74"/>
      <c r="Y94" s="74"/>
      <c r="Z94" s="74"/>
      <c r="AA94" s="74"/>
      <c r="AB94" s="74"/>
      <c r="AC94" s="74"/>
      <c r="AD94" s="74"/>
    </row>
    <row r="95" spans="1:30" ht="15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229"/>
      <c r="Q95" s="229"/>
      <c r="R95" s="229"/>
      <c r="S95" s="229"/>
      <c r="T95" s="229"/>
      <c r="U95" s="74"/>
      <c r="V95" s="74"/>
      <c r="W95" s="74"/>
      <c r="X95" s="74"/>
      <c r="Y95" s="74"/>
      <c r="Z95" s="74"/>
      <c r="AA95" s="74"/>
      <c r="AB95" s="74"/>
      <c r="AC95" s="74"/>
      <c r="AD95" s="74"/>
    </row>
    <row r="96" spans="1:30" ht="15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229"/>
      <c r="Q96" s="229"/>
      <c r="R96" s="229"/>
      <c r="S96" s="229"/>
      <c r="T96" s="229"/>
      <c r="U96" s="74"/>
      <c r="V96" s="74"/>
      <c r="W96" s="74"/>
      <c r="X96" s="74"/>
      <c r="Y96" s="74"/>
      <c r="Z96" s="74"/>
      <c r="AA96" s="74"/>
      <c r="AB96" s="74"/>
      <c r="AC96" s="74"/>
      <c r="AD96" s="74"/>
    </row>
    <row r="97" spans="1:30" ht="15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229"/>
      <c r="Q97" s="229"/>
      <c r="R97" s="229"/>
      <c r="S97" s="229"/>
      <c r="T97" s="229"/>
      <c r="U97" s="74"/>
      <c r="V97" s="74"/>
      <c r="W97" s="74"/>
      <c r="X97" s="74"/>
      <c r="Y97" s="74"/>
      <c r="Z97" s="74"/>
      <c r="AA97" s="74"/>
      <c r="AB97" s="74"/>
      <c r="AC97" s="74"/>
      <c r="AD97" s="74"/>
    </row>
    <row r="98" spans="1:30" ht="15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229"/>
      <c r="Q98" s="229"/>
      <c r="R98" s="229"/>
      <c r="S98" s="229"/>
      <c r="T98" s="229"/>
      <c r="U98" s="74"/>
      <c r="V98" s="74"/>
      <c r="W98" s="74"/>
      <c r="X98" s="74"/>
      <c r="Y98" s="74"/>
      <c r="Z98" s="74"/>
      <c r="AA98" s="74"/>
      <c r="AB98" s="74"/>
      <c r="AC98" s="74"/>
      <c r="AD98" s="74"/>
    </row>
    <row r="99" spans="1:30" ht="15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229"/>
      <c r="Q99" s="229"/>
      <c r="R99" s="229"/>
      <c r="S99" s="229"/>
      <c r="T99" s="229"/>
      <c r="U99" s="74"/>
      <c r="V99" s="74"/>
      <c r="W99" s="74"/>
      <c r="X99" s="74"/>
      <c r="Y99" s="74"/>
      <c r="Z99" s="74"/>
      <c r="AA99" s="74"/>
      <c r="AB99" s="74"/>
      <c r="AC99" s="74"/>
      <c r="AD99" s="74"/>
    </row>
    <row r="100" spans="1:30" ht="15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229"/>
      <c r="Q100" s="229"/>
      <c r="R100" s="229"/>
      <c r="S100" s="229"/>
      <c r="T100" s="229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</row>
    <row r="101" spans="1:30" ht="15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229"/>
      <c r="Q101" s="229"/>
      <c r="R101" s="229"/>
      <c r="S101" s="229"/>
      <c r="T101" s="229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</row>
    <row r="102" spans="1:30" ht="15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229"/>
      <c r="Q102" s="229"/>
      <c r="R102" s="229"/>
      <c r="S102" s="229"/>
      <c r="T102" s="229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</row>
    <row r="103" spans="1:30" ht="15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229"/>
      <c r="Q103" s="229"/>
      <c r="R103" s="229"/>
      <c r="S103" s="229"/>
      <c r="T103" s="229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</row>
    <row r="104" spans="1:30" ht="15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229"/>
      <c r="Q104" s="229"/>
      <c r="R104" s="229"/>
      <c r="S104" s="229"/>
      <c r="T104" s="229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</row>
    <row r="105" spans="1:30" ht="15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229"/>
      <c r="Q105" s="229"/>
      <c r="R105" s="229"/>
      <c r="S105" s="229"/>
      <c r="T105" s="229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</row>
    <row r="106" spans="1:30" ht="15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229"/>
      <c r="Q106" s="229"/>
      <c r="R106" s="229"/>
      <c r="S106" s="229"/>
      <c r="T106" s="229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</row>
    <row r="107" spans="1:30" ht="15" x14ac:dyDescent="0.25">
      <c r="A107" s="229"/>
      <c r="B107" s="229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29"/>
      <c r="O107" s="229"/>
      <c r="P107" s="229"/>
      <c r="Q107" s="229"/>
      <c r="R107" s="229"/>
      <c r="S107" s="229"/>
      <c r="T107" s="229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</row>
    <row r="108" spans="1:30" ht="15" x14ac:dyDescent="0.25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</row>
    <row r="109" spans="1:30" ht="15" x14ac:dyDescent="0.25">
      <c r="A109" s="229"/>
      <c r="B109" s="229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</row>
    <row r="110" spans="1:30" ht="15" x14ac:dyDescent="0.25">
      <c r="A110" s="229"/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</row>
    <row r="111" spans="1:30" ht="15" x14ac:dyDescent="0.25">
      <c r="A111" s="229"/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</row>
    <row r="112" spans="1:30" ht="15" x14ac:dyDescent="0.25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</row>
    <row r="113" spans="1:30" ht="15" x14ac:dyDescent="0.25">
      <c r="A113" s="229"/>
      <c r="B113" s="229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</row>
    <row r="114" spans="1:30" ht="15" x14ac:dyDescent="0.25">
      <c r="A114" s="229"/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</row>
    <row r="115" spans="1:30" ht="15" x14ac:dyDescent="0.25">
      <c r="A115" s="229"/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</row>
    <row r="116" spans="1:30" ht="15" x14ac:dyDescent="0.25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</row>
    <row r="117" spans="1:30" ht="15" x14ac:dyDescent="0.25">
      <c r="A117" s="229"/>
      <c r="B117" s="229"/>
      <c r="C117" s="229"/>
      <c r="D117" s="229"/>
      <c r="E117" s="230" t="s">
        <v>170</v>
      </c>
      <c r="F117" s="230"/>
      <c r="G117" s="230"/>
      <c r="H117" s="230"/>
      <c r="I117" s="230"/>
      <c r="J117" s="230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</row>
    <row r="118" spans="1:30" ht="15" x14ac:dyDescent="0.25">
      <c r="A118" s="229"/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</row>
    <row r="119" spans="1:30" ht="15" x14ac:dyDescent="0.25">
      <c r="A119" s="229"/>
      <c r="B119" s="229"/>
      <c r="C119" s="229"/>
      <c r="D119" s="229"/>
      <c r="E119" s="229" t="s">
        <v>173</v>
      </c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1:30" ht="15" x14ac:dyDescent="0.25">
      <c r="A120" s="229"/>
      <c r="B120" s="229"/>
      <c r="C120" s="229"/>
      <c r="D120" s="229"/>
      <c r="E120" s="229" t="s">
        <v>164</v>
      </c>
      <c r="F120" s="232" t="s">
        <v>165</v>
      </c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</row>
    <row r="121" spans="1:30" ht="15" x14ac:dyDescent="0.25">
      <c r="A121" s="229"/>
      <c r="B121" s="229"/>
      <c r="C121" s="229"/>
      <c r="D121" s="229"/>
      <c r="E121" s="233">
        <f>B14-B10</f>
        <v>-0.11250000000000071</v>
      </c>
      <c r="F121" s="233">
        <f>B11*B9*D6/365</f>
        <v>0.18698630136986302</v>
      </c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</row>
    <row r="122" spans="1:30" ht="15" x14ac:dyDescent="0.25">
      <c r="A122" s="229"/>
      <c r="B122" s="229"/>
      <c r="C122" s="229"/>
      <c r="D122" s="229"/>
      <c r="E122" s="234">
        <f>E121/F121</f>
        <v>-0.6016483516483554</v>
      </c>
      <c r="F122" s="235" t="s">
        <v>171</v>
      </c>
      <c r="G122" s="235"/>
      <c r="H122" s="235"/>
      <c r="I122" s="235"/>
      <c r="J122" s="235"/>
      <c r="K122" s="235"/>
      <c r="L122" s="235"/>
      <c r="M122" s="229"/>
      <c r="N122" s="229"/>
      <c r="O122" s="229"/>
      <c r="P122" s="229"/>
      <c r="Q122" s="229"/>
      <c r="R122" s="229"/>
      <c r="S122" s="229"/>
      <c r="T122" s="229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</row>
    <row r="123" spans="1:30" ht="15" x14ac:dyDescent="0.25">
      <c r="A123" s="229"/>
      <c r="B123" s="229"/>
      <c r="C123" s="229"/>
      <c r="D123" s="229"/>
      <c r="E123" s="235" t="s">
        <v>178</v>
      </c>
      <c r="F123" s="235"/>
      <c r="G123" s="235"/>
      <c r="H123" s="74"/>
      <c r="I123" s="235" t="s">
        <v>179</v>
      </c>
      <c r="J123" s="235"/>
      <c r="K123" s="235"/>
      <c r="L123" s="235"/>
      <c r="M123" s="229"/>
      <c r="N123" s="229"/>
      <c r="O123" s="229"/>
      <c r="P123" s="229"/>
      <c r="Q123" s="229"/>
      <c r="R123" s="229"/>
      <c r="S123" s="229"/>
      <c r="T123" s="229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</row>
    <row r="124" spans="1:30" ht="15" x14ac:dyDescent="0.25">
      <c r="A124" s="229"/>
      <c r="B124" s="229"/>
      <c r="C124" s="229"/>
      <c r="D124" s="229"/>
      <c r="E124" s="74"/>
      <c r="F124" s="235" t="s">
        <v>176</v>
      </c>
      <c r="G124" s="235"/>
      <c r="H124" s="74"/>
      <c r="I124" s="74"/>
      <c r="J124" s="235" t="s">
        <v>177</v>
      </c>
      <c r="K124" s="235"/>
      <c r="L124" s="235"/>
      <c r="M124" s="236"/>
      <c r="N124" s="236"/>
      <c r="O124" s="236"/>
      <c r="P124" s="236"/>
      <c r="Q124" s="229"/>
      <c r="R124" s="229"/>
      <c r="S124" s="229"/>
      <c r="T124" s="229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</row>
    <row r="125" spans="1:30" ht="15" x14ac:dyDescent="0.25">
      <c r="A125" s="229"/>
      <c r="B125" s="229"/>
      <c r="C125" s="229"/>
      <c r="D125" s="229"/>
      <c r="E125" s="74"/>
      <c r="F125" s="237" t="s">
        <v>174</v>
      </c>
      <c r="G125" s="237"/>
      <c r="H125" s="237"/>
      <c r="I125" s="229"/>
      <c r="J125" s="236" t="s">
        <v>172</v>
      </c>
      <c r="K125" s="236"/>
      <c r="L125" s="236"/>
      <c r="M125" s="236"/>
      <c r="N125" s="236"/>
      <c r="O125" s="236"/>
      <c r="P125" s="236"/>
      <c r="Q125" s="229"/>
      <c r="R125" s="229"/>
      <c r="S125" s="229"/>
      <c r="T125" s="229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</row>
    <row r="126" spans="1:30" ht="15.6" x14ac:dyDescent="0.3">
      <c r="A126" s="229"/>
      <c r="B126" s="229"/>
      <c r="C126" s="229"/>
      <c r="D126" s="229"/>
      <c r="E126" s="74"/>
      <c r="F126" s="237" t="s">
        <v>175</v>
      </c>
      <c r="G126" s="237"/>
      <c r="H126" s="237"/>
      <c r="I126" s="237"/>
      <c r="J126" s="236" t="s">
        <v>214</v>
      </c>
      <c r="K126" s="236"/>
      <c r="L126" s="236"/>
      <c r="M126" s="236"/>
      <c r="N126" s="236"/>
      <c r="O126" s="236"/>
      <c r="P126" s="236"/>
      <c r="Q126" s="229"/>
      <c r="R126" s="229"/>
      <c r="S126" s="229"/>
      <c r="T126" s="229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</row>
    <row r="127" spans="1:30" ht="15" x14ac:dyDescent="0.25">
      <c r="A127" s="229"/>
      <c r="B127" s="229"/>
      <c r="C127" s="229"/>
      <c r="D127" s="229"/>
      <c r="E127" s="74"/>
      <c r="F127" s="229"/>
      <c r="G127" s="238" t="s">
        <v>180</v>
      </c>
      <c r="H127" s="238"/>
      <c r="I127" s="238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</row>
    <row r="128" spans="1:30" ht="15" x14ac:dyDescent="0.25">
      <c r="A128" s="229"/>
      <c r="B128" s="229"/>
      <c r="C128" s="229"/>
      <c r="D128" s="229"/>
      <c r="E128" s="74"/>
      <c r="F128" s="229"/>
      <c r="G128" s="238" t="s">
        <v>181</v>
      </c>
      <c r="H128" s="238"/>
      <c r="I128" s="238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</row>
    <row r="129" spans="1:30" ht="15" x14ac:dyDescent="0.25">
      <c r="A129" s="229"/>
      <c r="B129" s="229"/>
      <c r="C129" s="229"/>
      <c r="D129" s="229"/>
      <c r="E129" s="74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</row>
    <row r="130" spans="1:30" ht="15" x14ac:dyDescent="0.25">
      <c r="A130" s="229"/>
      <c r="B130" s="229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</row>
    <row r="131" spans="1:30" ht="15" x14ac:dyDescent="0.25">
      <c r="A131" s="229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</row>
    <row r="132" spans="1:30" ht="15" x14ac:dyDescent="0.25">
      <c r="A132" s="229"/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</row>
    <row r="133" spans="1:30" ht="15" x14ac:dyDescent="0.25">
      <c r="A133" s="229"/>
      <c r="B133" s="229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</row>
    <row r="134" spans="1:30" ht="15" x14ac:dyDescent="0.25">
      <c r="A134" s="229"/>
      <c r="B134" s="229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</row>
    <row r="135" spans="1:30" ht="15" x14ac:dyDescent="0.25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</row>
    <row r="136" spans="1:30" ht="15" x14ac:dyDescent="0.25">
      <c r="A136" s="229"/>
      <c r="B136" s="229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</row>
    <row r="137" spans="1:30" ht="15" x14ac:dyDescent="0.25">
      <c r="A137" s="229"/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</row>
    <row r="138" spans="1:30" ht="15" x14ac:dyDescent="0.25">
      <c r="A138" s="229"/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</row>
    <row r="139" spans="1:30" ht="15" x14ac:dyDescent="0.25">
      <c r="A139" s="229"/>
      <c r="B139" s="229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</row>
    <row r="140" spans="1:30" ht="15" x14ac:dyDescent="0.25">
      <c r="A140" s="229"/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</row>
    <row r="141" spans="1:30" ht="15" x14ac:dyDescent="0.25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</row>
    <row r="142" spans="1:30" ht="15" x14ac:dyDescent="0.25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</row>
    <row r="143" spans="1:30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</row>
    <row r="144" spans="1:30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</row>
    <row r="145" spans="1:30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</row>
    <row r="146" spans="1:30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</row>
    <row r="147" spans="1:30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</row>
  </sheetData>
  <sheetProtection sheet="1" objects="1" scenarios="1"/>
  <mergeCells count="5">
    <mergeCell ref="L6:M8"/>
    <mergeCell ref="O38:P38"/>
    <mergeCell ref="B5:C5"/>
    <mergeCell ref="B6:C6"/>
    <mergeCell ref="B4:C4"/>
  </mergeCells>
  <phoneticPr fontId="2" type="noConversion"/>
  <conditionalFormatting sqref="P9:P12 Q10:Q12 S9:S32 P13:Q32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Decision Chart</vt:lpstr>
      <vt:lpstr>Corn New Crop</vt:lpstr>
      <vt:lpstr>Corn Store</vt:lpstr>
      <vt:lpstr>Soys New Crop</vt:lpstr>
      <vt:lpstr>Soys Store</vt:lpstr>
    </vt:vector>
  </TitlesOfParts>
  <Company>MSU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Betz</dc:creator>
  <cp:lastModifiedBy>Betz, Roger</cp:lastModifiedBy>
  <cp:lastPrinted>2008-06-12T10:50:16Z</cp:lastPrinted>
  <dcterms:created xsi:type="dcterms:W3CDTF">2004-07-23T18:49:07Z</dcterms:created>
  <dcterms:modified xsi:type="dcterms:W3CDTF">2022-02-27T22:50:16Z</dcterms:modified>
</cp:coreProperties>
</file>